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1.xml" ContentType="application/vnd.openxmlformats-officedocument.spreadsheetml.comments+xml"/>
  <Override PartName="/xl/comments6.xml" ContentType="application/vnd.openxmlformats-officedocument.spreadsheetml.comment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0" windowWidth="2100" windowHeight="1215" tabRatio="637" activeTab="3"/>
  </bookViews>
  <sheets>
    <sheet name="2180 Summary" sheetId="12" r:id="rId1"/>
    <sheet name="2180 Trucks" sheetId="2" r:id="rId2"/>
    <sheet name="2180 Cont, DB" sheetId="5" r:id="rId3"/>
    <sheet name="2180 Other" sheetId="8" r:id="rId4"/>
    <sheet name="2180 Trucks - Orig." sheetId="18" r:id="rId5"/>
    <sheet name="2180 Other - Orig." sheetId="19" r:id="rId6"/>
  </sheets>
  <externalReferences>
    <externalReference r:id="rId7"/>
  </externalReferences>
  <definedNames>
    <definedName name="_xlnm.Print_Area" localSheetId="2">'2180 Cont, DB'!$A$1:$U$726</definedName>
    <definedName name="_xlnm.Print_Area" localSheetId="3">'2180 Other'!$A$1:$U$148</definedName>
    <definedName name="_xlnm.Print_Area" localSheetId="5">'2180 Other - Orig.'!$A$1:$U$128</definedName>
    <definedName name="_xlnm.Print_Area" localSheetId="0">'2180 Summary'!$A$1:$H$81</definedName>
    <definedName name="_xlnm.Print_Area" localSheetId="1">'2180 Trucks'!$A$1:$U$354</definedName>
    <definedName name="_xlnm.Print_Area" localSheetId="4">'2180 Trucks - Orig.'!$B$1:$U$307</definedName>
    <definedName name="_xlnm.Print_Titles" localSheetId="2">'2180 Cont, DB'!$1:$11</definedName>
    <definedName name="_xlnm.Print_Titles" localSheetId="3">'2180 Other'!$1:$11</definedName>
    <definedName name="_xlnm.Print_Titles" localSheetId="5">'2180 Other - Orig.'!$1:$12</definedName>
    <definedName name="_xlnm.Print_Titles" localSheetId="1">'2180 Trucks'!$1:$11</definedName>
    <definedName name="_xlnm.Print_Titles" localSheetId="4">'2180 Trucks - Orig.'!$1:$12</definedName>
  </definedNames>
  <calcPr calcId="145621" calcMode="manual" concurrentManualCount="4"/>
</workbook>
</file>

<file path=xl/calcChain.xml><?xml version="1.0" encoding="utf-8"?>
<calcChain xmlns="http://schemas.openxmlformats.org/spreadsheetml/2006/main">
  <c r="O95" i="2" l="1"/>
  <c r="P95" i="2" s="1"/>
  <c r="Q95" i="2" s="1"/>
  <c r="L95" i="2"/>
  <c r="M95" i="2" s="1"/>
  <c r="O94" i="2"/>
  <c r="P94" i="2" s="1"/>
  <c r="Q94" i="2" s="1"/>
  <c r="L94" i="2"/>
  <c r="M94" i="2" s="1"/>
  <c r="O147" i="2"/>
  <c r="P147" i="2" s="1"/>
  <c r="Q147" i="2" s="1"/>
  <c r="L147" i="2"/>
  <c r="M147" i="2" s="1"/>
  <c r="N108" i="2" l="1"/>
  <c r="O106" i="2"/>
  <c r="O108" i="2" s="1"/>
  <c r="P106" i="2" l="1"/>
  <c r="L146" i="2"/>
  <c r="M146" i="2"/>
  <c r="L145" i="2"/>
  <c r="M145" i="2" s="1"/>
  <c r="O143" i="2"/>
  <c r="P143" i="2" s="1"/>
  <c r="Q143" i="2" s="1"/>
  <c r="O144" i="2"/>
  <c r="P144" i="2" s="1"/>
  <c r="Q144" i="2" s="1"/>
  <c r="O145" i="2"/>
  <c r="P145" i="2" s="1"/>
  <c r="Q145" i="2" s="1"/>
  <c r="O146" i="2"/>
  <c r="P146" i="2" s="1"/>
  <c r="Q146" i="2" s="1"/>
  <c r="L144" i="2"/>
  <c r="M144" i="2" s="1"/>
  <c r="L143" i="2"/>
  <c r="M143" i="2" s="1"/>
  <c r="O85" i="2"/>
  <c r="P85" i="2" s="1"/>
  <c r="Q85" i="2" s="1"/>
  <c r="O86" i="2"/>
  <c r="P86" i="2" s="1"/>
  <c r="Q86" i="2" s="1"/>
  <c r="O87" i="2"/>
  <c r="P87" i="2" s="1"/>
  <c r="Q87" i="2" s="1"/>
  <c r="O88" i="2"/>
  <c r="P88" i="2" s="1"/>
  <c r="Q88" i="2" s="1"/>
  <c r="O89" i="2"/>
  <c r="P89" i="2" s="1"/>
  <c r="Q89" i="2" s="1"/>
  <c r="O90" i="2"/>
  <c r="P90" i="2" s="1"/>
  <c r="Q90" i="2" s="1"/>
  <c r="O91" i="2"/>
  <c r="P91" i="2" s="1"/>
  <c r="Q91" i="2" s="1"/>
  <c r="O92" i="2"/>
  <c r="P92" i="2"/>
  <c r="Q92" i="2" s="1"/>
  <c r="O93" i="2"/>
  <c r="L85" i="2"/>
  <c r="M85" i="2" s="1"/>
  <c r="L86" i="2"/>
  <c r="M86" i="2" s="1"/>
  <c r="L87" i="2"/>
  <c r="M87" i="2" s="1"/>
  <c r="L88" i="2"/>
  <c r="M88" i="2" s="1"/>
  <c r="L89" i="2"/>
  <c r="M89" i="2" s="1"/>
  <c r="L90" i="2"/>
  <c r="M90" i="2" s="1"/>
  <c r="L91" i="2"/>
  <c r="M91" i="2" s="1"/>
  <c r="L92" i="2"/>
  <c r="M92" i="2" s="1"/>
  <c r="L93" i="2"/>
  <c r="M93" i="2" s="1"/>
  <c r="P108" i="2" l="1"/>
  <c r="Q106" i="2"/>
  <c r="Q108" i="2" s="1"/>
  <c r="P93" i="2"/>
  <c r="Q93" i="2" s="1"/>
  <c r="B79" i="12"/>
  <c r="N142" i="8"/>
  <c r="N133" i="8"/>
  <c r="N124" i="8"/>
  <c r="N110" i="8"/>
  <c r="N60" i="8"/>
  <c r="N40" i="8"/>
  <c r="B12" i="12"/>
  <c r="N146" i="8" l="1"/>
  <c r="A30" i="12"/>
  <c r="A28" i="12"/>
  <c r="A26" i="12"/>
  <c r="A24" i="12"/>
  <c r="A22" i="12"/>
  <c r="A20" i="12"/>
  <c r="A18" i="12"/>
  <c r="A16" i="12"/>
  <c r="A14" i="12"/>
  <c r="A12" i="12"/>
  <c r="A10" i="12"/>
  <c r="A8" i="12"/>
  <c r="B1167" i="5" l="1"/>
  <c r="B1159" i="5"/>
  <c r="B1250" i="5"/>
  <c r="B1264" i="5"/>
  <c r="B1237" i="5"/>
  <c r="B455" i="5"/>
  <c r="B1202" i="5"/>
  <c r="B1153" i="5"/>
  <c r="B1122" i="5"/>
  <c r="B1169" i="5" l="1"/>
  <c r="B1252" i="5"/>
  <c r="B1117" i="5"/>
  <c r="B1101" i="5"/>
  <c r="B1095" i="5"/>
  <c r="B1014" i="5"/>
  <c r="B1002" i="5"/>
  <c r="B977" i="5"/>
  <c r="B963" i="5"/>
  <c r="B926" i="5"/>
  <c r="B899" i="5"/>
  <c r="B871" i="5"/>
  <c r="B848" i="5"/>
  <c r="B866" i="5"/>
  <c r="N270" i="2" l="1"/>
  <c r="N271" i="2" s="1"/>
  <c r="L270" i="2"/>
  <c r="M270" i="2" s="1"/>
  <c r="K271" i="2" l="1"/>
  <c r="L271" i="2" s="1"/>
  <c r="M271" i="2" s="1"/>
  <c r="O271" i="2"/>
  <c r="O270" i="2"/>
  <c r="P270" i="2" s="1"/>
  <c r="Q270" i="2" s="1"/>
  <c r="O276" i="2"/>
  <c r="P276" i="2" s="1"/>
  <c r="Q276" i="2" s="1"/>
  <c r="L276" i="2"/>
  <c r="M276" i="2" s="1"/>
  <c r="A1" i="8"/>
  <c r="A1" i="5"/>
  <c r="A1" i="2"/>
  <c r="O5" i="2"/>
  <c r="L452" i="2"/>
  <c r="M452" i="2" s="1"/>
  <c r="O452" i="2"/>
  <c r="P452" i="2" s="1"/>
  <c r="Q452" i="2" s="1"/>
  <c r="L453" i="2"/>
  <c r="M453" i="2" s="1"/>
  <c r="O453" i="2"/>
  <c r="P453" i="2" s="1"/>
  <c r="Q453" i="2" s="1"/>
  <c r="O396" i="5"/>
  <c r="P396" i="5" s="1"/>
  <c r="Q396" i="5" s="1"/>
  <c r="O395" i="5"/>
  <c r="P395" i="5" s="1"/>
  <c r="Q395" i="5" s="1"/>
  <c r="L396" i="5"/>
  <c r="M396" i="5" s="1"/>
  <c r="L395" i="5"/>
  <c r="M395" i="5" s="1"/>
  <c r="N101" i="2"/>
  <c r="N103" i="2" s="1"/>
  <c r="O142" i="2"/>
  <c r="P142" i="2" s="1"/>
  <c r="Q142" i="2" s="1"/>
  <c r="L142" i="2"/>
  <c r="M142" i="2" s="1"/>
  <c r="O141" i="2"/>
  <c r="P141" i="2" s="1"/>
  <c r="Q141" i="2" s="1"/>
  <c r="L141" i="2"/>
  <c r="M141" i="2" s="1"/>
  <c r="O84" i="2"/>
  <c r="P84" i="2" s="1"/>
  <c r="Q84" i="2" s="1"/>
  <c r="O83" i="2"/>
  <c r="P83" i="2" s="1"/>
  <c r="Q83" i="2" s="1"/>
  <c r="O82" i="2"/>
  <c r="P82" i="2" s="1"/>
  <c r="Q82" i="2" s="1"/>
  <c r="O81" i="2"/>
  <c r="P81" i="2" s="1"/>
  <c r="Q81" i="2" s="1"/>
  <c r="O80" i="2"/>
  <c r="P80" i="2" s="1"/>
  <c r="Q80" i="2" s="1"/>
  <c r="L84" i="2"/>
  <c r="M84" i="2" s="1"/>
  <c r="L83" i="2"/>
  <c r="M83" i="2" s="1"/>
  <c r="L82" i="2"/>
  <c r="M82" i="2" s="1"/>
  <c r="L81" i="2"/>
  <c r="M81" i="2" s="1"/>
  <c r="L80" i="2"/>
  <c r="M80" i="2" s="1"/>
  <c r="N79" i="2"/>
  <c r="O79" i="2" s="1"/>
  <c r="P79" i="2" s="1"/>
  <c r="Q79" i="2" s="1"/>
  <c r="L79" i="2"/>
  <c r="M79" i="2" s="1"/>
  <c r="N78" i="2"/>
  <c r="O78" i="2" s="1"/>
  <c r="P78" i="2" s="1"/>
  <c r="Q78" i="2" s="1"/>
  <c r="N220" i="5"/>
  <c r="O220" i="5" s="1"/>
  <c r="P220" i="5" s="1"/>
  <c r="Q220" i="5" s="1"/>
  <c r="L220" i="5"/>
  <c r="M220" i="5" s="1"/>
  <c r="B220" i="5"/>
  <c r="N211" i="5"/>
  <c r="O211" i="5" s="1"/>
  <c r="P211" i="5" s="1"/>
  <c r="Q211" i="5" s="1"/>
  <c r="L211" i="5"/>
  <c r="M211" i="5" s="1"/>
  <c r="B211" i="5"/>
  <c r="O60" i="5"/>
  <c r="P60" i="5" s="1"/>
  <c r="Q60" i="5" s="1"/>
  <c r="L60" i="5"/>
  <c r="M60" i="5" s="1"/>
  <c r="N120" i="5"/>
  <c r="O120" i="5" s="1"/>
  <c r="P120" i="5" s="1"/>
  <c r="Q120" i="5" s="1"/>
  <c r="L120" i="5"/>
  <c r="M120" i="5" s="1"/>
  <c r="B120" i="5"/>
  <c r="N40" i="5"/>
  <c r="O40" i="5" s="1"/>
  <c r="P40" i="5" s="1"/>
  <c r="Q40" i="5" s="1"/>
  <c r="L40" i="5"/>
  <c r="M40" i="5" s="1"/>
  <c r="B40" i="5"/>
  <c r="O671" i="5"/>
  <c r="P671" i="5" s="1"/>
  <c r="Q671" i="5" s="1"/>
  <c r="L671" i="5"/>
  <c r="M671" i="5" s="1"/>
  <c r="O593" i="5"/>
  <c r="P593" i="5" s="1"/>
  <c r="Q593" i="5" s="1"/>
  <c r="L593" i="5"/>
  <c r="M593" i="5" s="1"/>
  <c r="O522" i="5"/>
  <c r="P522" i="5" s="1"/>
  <c r="Q522" i="5" s="1"/>
  <c r="L522" i="5"/>
  <c r="M522" i="5" s="1"/>
  <c r="O521" i="5"/>
  <c r="P521" i="5" s="1"/>
  <c r="Q521" i="5" s="1"/>
  <c r="O520" i="5"/>
  <c r="P520" i="5" s="1"/>
  <c r="Q520" i="5" s="1"/>
  <c r="L521" i="5"/>
  <c r="M521" i="5" s="1"/>
  <c r="L520" i="5"/>
  <c r="M520" i="5" s="1"/>
  <c r="N108" i="8"/>
  <c r="O140" i="8"/>
  <c r="P140" i="8" s="1"/>
  <c r="L140" i="8"/>
  <c r="M140" i="8"/>
  <c r="O108" i="8"/>
  <c r="P108" i="8" s="1"/>
  <c r="Q108" i="8" s="1"/>
  <c r="L108" i="8"/>
  <c r="M108" i="8"/>
  <c r="L78" i="2"/>
  <c r="M78" i="2" s="1"/>
  <c r="L101" i="2"/>
  <c r="M101" i="2" s="1"/>
  <c r="O391" i="5"/>
  <c r="P391" i="5" s="1"/>
  <c r="Q391" i="5" s="1"/>
  <c r="L391" i="5"/>
  <c r="M391" i="5" s="1"/>
  <c r="O122" i="8"/>
  <c r="P122" i="8"/>
  <c r="Q122" i="8"/>
  <c r="L122" i="8"/>
  <c r="M122" i="8"/>
  <c r="N121" i="8"/>
  <c r="O121" i="8"/>
  <c r="P121" i="8" s="1"/>
  <c r="Q121" i="8" s="1"/>
  <c r="O107" i="8"/>
  <c r="P107" i="8"/>
  <c r="Q107" i="8" s="1"/>
  <c r="L107" i="8"/>
  <c r="M107" i="8"/>
  <c r="L121" i="8"/>
  <c r="M121" i="8" s="1"/>
  <c r="O457" i="2"/>
  <c r="P457" i="2" s="1"/>
  <c r="Q457" i="2" s="1"/>
  <c r="L457" i="2"/>
  <c r="M457" i="2" s="1"/>
  <c r="O106" i="8"/>
  <c r="P106" i="8"/>
  <c r="Q106" i="8" s="1"/>
  <c r="L106" i="8"/>
  <c r="M106" i="8"/>
  <c r="O456" i="2"/>
  <c r="P456" i="2" s="1"/>
  <c r="Q456" i="2" s="1"/>
  <c r="L456" i="2"/>
  <c r="M456" i="2" s="1"/>
  <c r="O455" i="2"/>
  <c r="P455" i="2" s="1"/>
  <c r="Q455" i="2" s="1"/>
  <c r="L455" i="2"/>
  <c r="M455" i="2" s="1"/>
  <c r="O219" i="5"/>
  <c r="P219" i="5" s="1"/>
  <c r="Q219" i="5" s="1"/>
  <c r="L219" i="5"/>
  <c r="M219" i="5" s="1"/>
  <c r="O210" i="5"/>
  <c r="P210" i="5" s="1"/>
  <c r="Q210" i="5" s="1"/>
  <c r="L210" i="5"/>
  <c r="M210" i="5" s="1"/>
  <c r="O132" i="5"/>
  <c r="P132" i="5" s="1"/>
  <c r="Q132" i="5" s="1"/>
  <c r="L132" i="5"/>
  <c r="M132" i="5" s="1"/>
  <c r="O94" i="5"/>
  <c r="P94" i="5" s="1"/>
  <c r="Q94" i="5" s="1"/>
  <c r="L94" i="5"/>
  <c r="M94" i="5" s="1"/>
  <c r="O119" i="5"/>
  <c r="P119" i="5" s="1"/>
  <c r="Q119" i="5" s="1"/>
  <c r="L119" i="5"/>
  <c r="M119" i="5" s="1"/>
  <c r="O59" i="5"/>
  <c r="P59" i="5" s="1"/>
  <c r="Q59" i="5" s="1"/>
  <c r="L59" i="5"/>
  <c r="M59" i="5" s="1"/>
  <c r="O394" i="5"/>
  <c r="P394" i="5" s="1"/>
  <c r="Q394" i="5" s="1"/>
  <c r="L394" i="5"/>
  <c r="M394" i="5" s="1"/>
  <c r="O393" i="5"/>
  <c r="P393" i="5" s="1"/>
  <c r="Q393" i="5" s="1"/>
  <c r="L393" i="5"/>
  <c r="M393" i="5" s="1"/>
  <c r="O392" i="5"/>
  <c r="P392" i="5" s="1"/>
  <c r="Q392" i="5" s="1"/>
  <c r="L392" i="5"/>
  <c r="M392" i="5" s="1"/>
  <c r="O519" i="5"/>
  <c r="P519" i="5" s="1"/>
  <c r="Q519" i="5" s="1"/>
  <c r="L519" i="5"/>
  <c r="M519" i="5" s="1"/>
  <c r="N517" i="5"/>
  <c r="O517" i="5" s="1"/>
  <c r="P517" i="5" s="1"/>
  <c r="Q517" i="5" s="1"/>
  <c r="L517" i="5"/>
  <c r="M517" i="5" s="1"/>
  <c r="B517" i="5"/>
  <c r="O518" i="5"/>
  <c r="P518" i="5" s="1"/>
  <c r="Q518" i="5" s="1"/>
  <c r="L518" i="5"/>
  <c r="M518" i="5" s="1"/>
  <c r="O516" i="5"/>
  <c r="P516" i="5" s="1"/>
  <c r="Q516" i="5" s="1"/>
  <c r="L516" i="5"/>
  <c r="M516" i="5" s="1"/>
  <c r="N670" i="5"/>
  <c r="B670" i="5"/>
  <c r="L670" i="5"/>
  <c r="M670" i="5" s="1"/>
  <c r="O669" i="5"/>
  <c r="P669" i="5" s="1"/>
  <c r="Q669" i="5" s="1"/>
  <c r="L669" i="5"/>
  <c r="M669" i="5" s="1"/>
  <c r="O590" i="5"/>
  <c r="P590" i="5" s="1"/>
  <c r="Q590" i="5" s="1"/>
  <c r="L590" i="5"/>
  <c r="M590" i="5" s="1"/>
  <c r="O591" i="5"/>
  <c r="P591" i="5" s="1"/>
  <c r="Q591" i="5" s="1"/>
  <c r="L591" i="5"/>
  <c r="M591" i="5" s="1"/>
  <c r="O592" i="5"/>
  <c r="P592" i="5" s="1"/>
  <c r="Q592" i="5" s="1"/>
  <c r="L592" i="5"/>
  <c r="M592" i="5" s="1"/>
  <c r="O4" i="8"/>
  <c r="O3" i="8"/>
  <c r="O2" i="8"/>
  <c r="A3" i="8"/>
  <c r="O4" i="5"/>
  <c r="O3" i="5"/>
  <c r="O2" i="5"/>
  <c r="L123" i="5"/>
  <c r="M123" i="5" s="1"/>
  <c r="L173" i="5"/>
  <c r="M173" i="5" s="1"/>
  <c r="L146" i="5"/>
  <c r="M146" i="5" s="1"/>
  <c r="L178" i="5"/>
  <c r="M178" i="5" s="1"/>
  <c r="O123" i="5"/>
  <c r="P123" i="5" s="1"/>
  <c r="Q123" i="5" s="1"/>
  <c r="O173" i="5"/>
  <c r="P173" i="5" s="1"/>
  <c r="Q173" i="5" s="1"/>
  <c r="O146" i="5"/>
  <c r="P146" i="5" s="1"/>
  <c r="Q146" i="5" s="1"/>
  <c r="O178" i="5"/>
  <c r="P178" i="5" s="1"/>
  <c r="Q178" i="5" s="1"/>
  <c r="O515" i="5"/>
  <c r="P515" i="5" s="1"/>
  <c r="Q515" i="5" s="1"/>
  <c r="O514" i="5"/>
  <c r="P514" i="5" s="1"/>
  <c r="Q514" i="5" s="1"/>
  <c r="L515" i="5"/>
  <c r="M515" i="5" s="1"/>
  <c r="L514" i="5"/>
  <c r="M514" i="5" s="1"/>
  <c r="O589" i="5"/>
  <c r="P589" i="5" s="1"/>
  <c r="Q589" i="5" s="1"/>
  <c r="L589" i="5"/>
  <c r="M589" i="5" s="1"/>
  <c r="O667" i="5"/>
  <c r="P667" i="5" s="1"/>
  <c r="Q667" i="5" s="1"/>
  <c r="O668" i="5"/>
  <c r="P668" i="5" s="1"/>
  <c r="Q668" i="5" s="1"/>
  <c r="L667" i="5"/>
  <c r="M667" i="5" s="1"/>
  <c r="L668" i="5"/>
  <c r="M668" i="5" s="1"/>
  <c r="L237" i="2"/>
  <c r="M237" i="2" s="1"/>
  <c r="O237" i="2"/>
  <c r="P237" i="2" s="1"/>
  <c r="Q237" i="2" s="1"/>
  <c r="O76" i="2"/>
  <c r="P76" i="2" s="1"/>
  <c r="Q76" i="2" s="1"/>
  <c r="O77" i="2"/>
  <c r="P77" i="2" s="1"/>
  <c r="Q77" i="2" s="1"/>
  <c r="L76" i="2"/>
  <c r="M76" i="2" s="1"/>
  <c r="L77" i="2"/>
  <c r="M77" i="2" s="1"/>
  <c r="O58" i="8"/>
  <c r="P58" i="8" s="1"/>
  <c r="Q58" i="8" s="1"/>
  <c r="L58" i="8"/>
  <c r="M58" i="8" s="1"/>
  <c r="L103" i="8"/>
  <c r="M103" i="8"/>
  <c r="L104" i="8"/>
  <c r="M104" i="8" s="1"/>
  <c r="L105" i="8"/>
  <c r="M105" i="8"/>
  <c r="O103" i="8"/>
  <c r="P103" i="8" s="1"/>
  <c r="Q103" i="8" s="1"/>
  <c r="O104" i="8"/>
  <c r="P104" i="8"/>
  <c r="Q104" i="8" s="1"/>
  <c r="O105" i="8"/>
  <c r="P105" i="8"/>
  <c r="Q105" i="8"/>
  <c r="L450" i="2"/>
  <c r="M450" i="2" s="1"/>
  <c r="L451" i="2"/>
  <c r="M451" i="2" s="1"/>
  <c r="L454" i="2"/>
  <c r="M454" i="2" s="1"/>
  <c r="O450" i="2"/>
  <c r="P450" i="2" s="1"/>
  <c r="Q450" i="2" s="1"/>
  <c r="O451" i="2"/>
  <c r="P451" i="2" s="1"/>
  <c r="Q451" i="2" s="1"/>
  <c r="O454" i="2"/>
  <c r="P454" i="2" s="1"/>
  <c r="Q454" i="2" s="1"/>
  <c r="O62" i="2"/>
  <c r="P62" i="2" s="1"/>
  <c r="Q62" i="2" s="1"/>
  <c r="O63" i="2"/>
  <c r="P63" i="2" s="1"/>
  <c r="Q63" i="2" s="1"/>
  <c r="O64" i="2"/>
  <c r="P64" i="2" s="1"/>
  <c r="Q64" i="2" s="1"/>
  <c r="O65" i="2"/>
  <c r="P65" i="2" s="1"/>
  <c r="Q65" i="2" s="1"/>
  <c r="O66" i="2"/>
  <c r="P66" i="2" s="1"/>
  <c r="Q66" i="2" s="1"/>
  <c r="O67" i="2"/>
  <c r="P67" i="2" s="1"/>
  <c r="Q67" i="2" s="1"/>
  <c r="O68" i="2"/>
  <c r="P68" i="2" s="1"/>
  <c r="Q68" i="2" s="1"/>
  <c r="O69" i="2"/>
  <c r="P69" i="2" s="1"/>
  <c r="Q69" i="2" s="1"/>
  <c r="O70" i="2"/>
  <c r="P70" i="2" s="1"/>
  <c r="Q70" i="2" s="1"/>
  <c r="O71" i="2"/>
  <c r="P71" i="2" s="1"/>
  <c r="Q71" i="2" s="1"/>
  <c r="O72" i="2"/>
  <c r="P72" i="2" s="1"/>
  <c r="Q72" i="2" s="1"/>
  <c r="O73" i="2"/>
  <c r="P73" i="2" s="1"/>
  <c r="Q73" i="2" s="1"/>
  <c r="O74" i="2"/>
  <c r="P74" i="2" s="1"/>
  <c r="Q74" i="2" s="1"/>
  <c r="O75" i="2"/>
  <c r="P75" i="2" s="1"/>
  <c r="Q75" i="2" s="1"/>
  <c r="L61" i="2"/>
  <c r="M61" i="2" s="1"/>
  <c r="L62" i="2"/>
  <c r="M62" i="2" s="1"/>
  <c r="L106" i="2"/>
  <c r="M106" i="2" s="1"/>
  <c r="L63" i="2"/>
  <c r="M63" i="2" s="1"/>
  <c r="L64" i="2"/>
  <c r="M64" i="2" s="1"/>
  <c r="L65" i="2"/>
  <c r="M65" i="2" s="1"/>
  <c r="L66" i="2"/>
  <c r="M66" i="2" s="1"/>
  <c r="L67" i="2"/>
  <c r="M67" i="2" s="1"/>
  <c r="L68" i="2"/>
  <c r="M68" i="2" s="1"/>
  <c r="L69" i="2"/>
  <c r="M69" i="2" s="1"/>
  <c r="L70" i="2"/>
  <c r="M70" i="2" s="1"/>
  <c r="L71" i="2"/>
  <c r="M71" i="2" s="1"/>
  <c r="L72" i="2"/>
  <c r="M72" i="2" s="1"/>
  <c r="L73" i="2"/>
  <c r="M73" i="2" s="1"/>
  <c r="L74" i="2"/>
  <c r="M74" i="2" s="1"/>
  <c r="L75" i="2"/>
  <c r="M75" i="2" s="1"/>
  <c r="L58" i="2"/>
  <c r="M58" i="2" s="1"/>
  <c r="L59" i="2"/>
  <c r="M59" i="2" s="1"/>
  <c r="L60" i="2"/>
  <c r="M60" i="2" s="1"/>
  <c r="O58" i="2"/>
  <c r="P58" i="2" s="1"/>
  <c r="Q58" i="2" s="1"/>
  <c r="O59" i="2"/>
  <c r="P59" i="2" s="1"/>
  <c r="Q59" i="2" s="1"/>
  <c r="O60" i="2"/>
  <c r="P60" i="2" s="1"/>
  <c r="Q60" i="2" s="1"/>
  <c r="O61" i="2"/>
  <c r="P61" i="2" s="1"/>
  <c r="Q61" i="2" s="1"/>
  <c r="O443" i="2"/>
  <c r="P443" i="2" s="1"/>
  <c r="Q443" i="2" s="1"/>
  <c r="O444" i="2"/>
  <c r="P444" i="2" s="1"/>
  <c r="Q444" i="2" s="1"/>
  <c r="O445" i="2"/>
  <c r="P445" i="2" s="1"/>
  <c r="Q445" i="2" s="1"/>
  <c r="O446" i="2"/>
  <c r="P446" i="2" s="1"/>
  <c r="Q446" i="2" s="1"/>
  <c r="O447" i="2"/>
  <c r="P447" i="2" s="1"/>
  <c r="Q447" i="2" s="1"/>
  <c r="O448" i="2"/>
  <c r="P448" i="2" s="1"/>
  <c r="Q448" i="2" s="1"/>
  <c r="O449" i="2"/>
  <c r="P449" i="2" s="1"/>
  <c r="Q449" i="2" s="1"/>
  <c r="L449" i="2"/>
  <c r="M449" i="2" s="1"/>
  <c r="L448" i="2"/>
  <c r="M448" i="2" s="1"/>
  <c r="L447" i="2"/>
  <c r="M447" i="2" s="1"/>
  <c r="L446" i="2"/>
  <c r="M446" i="2" s="1"/>
  <c r="L445" i="2"/>
  <c r="M445" i="2" s="1"/>
  <c r="L444" i="2"/>
  <c r="M444" i="2" s="1"/>
  <c r="L443" i="2"/>
  <c r="M443" i="2" s="1"/>
  <c r="O439" i="2"/>
  <c r="P439" i="2" s="1"/>
  <c r="Q439" i="2" s="1"/>
  <c r="O440" i="2"/>
  <c r="P440" i="2" s="1"/>
  <c r="Q440" i="2" s="1"/>
  <c r="O441" i="2"/>
  <c r="P441" i="2" s="1"/>
  <c r="Q441" i="2" s="1"/>
  <c r="O442" i="2"/>
  <c r="P442" i="2" s="1"/>
  <c r="Q442" i="2" s="1"/>
  <c r="L442" i="2"/>
  <c r="M442" i="2" s="1"/>
  <c r="L441" i="2"/>
  <c r="M441" i="2" s="1"/>
  <c r="L440" i="2"/>
  <c r="M440" i="2" s="1"/>
  <c r="L439" i="2"/>
  <c r="M439" i="2" s="1"/>
  <c r="L436" i="2"/>
  <c r="M436" i="2" s="1"/>
  <c r="O436" i="2"/>
  <c r="P436" i="2" s="1"/>
  <c r="Q436" i="2" s="1"/>
  <c r="L437" i="2"/>
  <c r="M437" i="2" s="1"/>
  <c r="O437" i="2"/>
  <c r="P437" i="2" s="1"/>
  <c r="Q437" i="2" s="1"/>
  <c r="L438" i="2"/>
  <c r="M438" i="2" s="1"/>
  <c r="O438" i="2"/>
  <c r="P438" i="2" s="1"/>
  <c r="Q438" i="2" s="1"/>
  <c r="O175" i="5"/>
  <c r="P175" i="5" s="1"/>
  <c r="Q175" i="5" s="1"/>
  <c r="O156" i="5"/>
  <c r="P156" i="5" s="1"/>
  <c r="Q156" i="5" s="1"/>
  <c r="O174" i="5"/>
  <c r="P174" i="5" s="1"/>
  <c r="Q174" i="5" s="1"/>
  <c r="O66" i="5"/>
  <c r="P66" i="5" s="1"/>
  <c r="Q66" i="5" s="1"/>
  <c r="O155" i="5"/>
  <c r="P155" i="5" s="1"/>
  <c r="Q155" i="5" s="1"/>
  <c r="O136" i="5"/>
  <c r="P136" i="5" s="1"/>
  <c r="Q136" i="5" s="1"/>
  <c r="O67" i="5"/>
  <c r="P67" i="5" s="1"/>
  <c r="Q67" i="5" s="1"/>
  <c r="O17" i="5"/>
  <c r="P17" i="5" s="1"/>
  <c r="Q17" i="5" s="1"/>
  <c r="O64" i="5"/>
  <c r="P64" i="5" s="1"/>
  <c r="Q64" i="5" s="1"/>
  <c r="O18" i="5"/>
  <c r="P18" i="5" s="1"/>
  <c r="Q18" i="5" s="1"/>
  <c r="O65" i="5"/>
  <c r="P65" i="5" s="1"/>
  <c r="Q65" i="5" s="1"/>
  <c r="L175" i="5"/>
  <c r="M175" i="5" s="1"/>
  <c r="L156" i="5"/>
  <c r="M156" i="5" s="1"/>
  <c r="L174" i="5"/>
  <c r="M174" i="5" s="1"/>
  <c r="L66" i="5"/>
  <c r="M66" i="5" s="1"/>
  <c r="L155" i="5"/>
  <c r="M155" i="5" s="1"/>
  <c r="L136" i="5"/>
  <c r="M136" i="5" s="1"/>
  <c r="L67" i="5"/>
  <c r="M67" i="5" s="1"/>
  <c r="L17" i="5"/>
  <c r="M17" i="5" s="1"/>
  <c r="L64" i="5"/>
  <c r="M64" i="5" s="1"/>
  <c r="L18" i="5"/>
  <c r="M18" i="5" s="1"/>
  <c r="L65" i="5"/>
  <c r="M65" i="5" s="1"/>
  <c r="O368" i="5"/>
  <c r="P368" i="5" s="1"/>
  <c r="Q368" i="5" s="1"/>
  <c r="O369" i="5"/>
  <c r="P369" i="5" s="1"/>
  <c r="Q369" i="5" s="1"/>
  <c r="O370" i="5"/>
  <c r="P370" i="5" s="1"/>
  <c r="Q370" i="5" s="1"/>
  <c r="O371" i="5"/>
  <c r="P371" i="5" s="1"/>
  <c r="Q371" i="5" s="1"/>
  <c r="O372" i="5"/>
  <c r="P372" i="5" s="1"/>
  <c r="Q372" i="5" s="1"/>
  <c r="O373" i="5"/>
  <c r="P373" i="5" s="1"/>
  <c r="Q373" i="5" s="1"/>
  <c r="O374" i="5"/>
  <c r="P374" i="5" s="1"/>
  <c r="Q374" i="5" s="1"/>
  <c r="O375" i="5"/>
  <c r="P375" i="5" s="1"/>
  <c r="Q375" i="5" s="1"/>
  <c r="O376" i="5"/>
  <c r="P376" i="5" s="1"/>
  <c r="Q376" i="5" s="1"/>
  <c r="O377" i="5"/>
  <c r="P377" i="5" s="1"/>
  <c r="Q377" i="5" s="1"/>
  <c r="O378" i="5"/>
  <c r="P378" i="5" s="1"/>
  <c r="Q378" i="5" s="1"/>
  <c r="O379" i="5"/>
  <c r="P379" i="5" s="1"/>
  <c r="Q379" i="5" s="1"/>
  <c r="O380" i="5"/>
  <c r="P380" i="5" s="1"/>
  <c r="Q380" i="5" s="1"/>
  <c r="O381" i="5"/>
  <c r="P381" i="5" s="1"/>
  <c r="Q381" i="5" s="1"/>
  <c r="O382" i="5"/>
  <c r="P382" i="5" s="1"/>
  <c r="Q382" i="5" s="1"/>
  <c r="O383" i="5"/>
  <c r="P383" i="5" s="1"/>
  <c r="Q383" i="5" s="1"/>
  <c r="O384" i="5"/>
  <c r="P384" i="5" s="1"/>
  <c r="Q384" i="5" s="1"/>
  <c r="O385" i="5"/>
  <c r="P385" i="5" s="1"/>
  <c r="Q385" i="5" s="1"/>
  <c r="O386" i="5"/>
  <c r="P386" i="5" s="1"/>
  <c r="Q386" i="5" s="1"/>
  <c r="O387" i="5"/>
  <c r="P387" i="5" s="1"/>
  <c r="Q387" i="5" s="1"/>
  <c r="O388" i="5"/>
  <c r="P388" i="5" s="1"/>
  <c r="Q388" i="5" s="1"/>
  <c r="O389" i="5"/>
  <c r="P389" i="5" s="1"/>
  <c r="Q389" i="5" s="1"/>
  <c r="O390" i="5"/>
  <c r="P390" i="5" s="1"/>
  <c r="Q390" i="5" s="1"/>
  <c r="L368" i="5"/>
  <c r="M368" i="5" s="1"/>
  <c r="L369" i="5"/>
  <c r="M369" i="5" s="1"/>
  <c r="L370" i="5"/>
  <c r="M370" i="5" s="1"/>
  <c r="L371" i="5"/>
  <c r="M371" i="5" s="1"/>
  <c r="L372" i="5"/>
  <c r="M372" i="5" s="1"/>
  <c r="L373" i="5"/>
  <c r="M373" i="5" s="1"/>
  <c r="L374" i="5"/>
  <c r="M374" i="5" s="1"/>
  <c r="L375" i="5"/>
  <c r="M375" i="5" s="1"/>
  <c r="L376" i="5"/>
  <c r="M376" i="5" s="1"/>
  <c r="L377" i="5"/>
  <c r="M377" i="5" s="1"/>
  <c r="L378" i="5"/>
  <c r="M378" i="5" s="1"/>
  <c r="L379" i="5"/>
  <c r="M379" i="5" s="1"/>
  <c r="L380" i="5"/>
  <c r="M380" i="5" s="1"/>
  <c r="L381" i="5"/>
  <c r="M381" i="5" s="1"/>
  <c r="L382" i="5"/>
  <c r="M382" i="5" s="1"/>
  <c r="L383" i="5"/>
  <c r="M383" i="5" s="1"/>
  <c r="L384" i="5"/>
  <c r="M384" i="5" s="1"/>
  <c r="L385" i="5"/>
  <c r="M385" i="5" s="1"/>
  <c r="L386" i="5"/>
  <c r="M386" i="5" s="1"/>
  <c r="L387" i="5"/>
  <c r="M387" i="5" s="1"/>
  <c r="L388" i="5"/>
  <c r="M388" i="5" s="1"/>
  <c r="L389" i="5"/>
  <c r="M389" i="5" s="1"/>
  <c r="L390" i="5"/>
  <c r="M390" i="5" s="1"/>
  <c r="E122" i="12"/>
  <c r="S251" i="2"/>
  <c r="S250" i="2"/>
  <c r="S248" i="2"/>
  <c r="S233" i="2"/>
  <c r="S232" i="2"/>
  <c r="S230" i="2"/>
  <c r="S218" i="2"/>
  <c r="S217" i="2"/>
  <c r="S215" i="2"/>
  <c r="S211" i="2"/>
  <c r="S210" i="2"/>
  <c r="S208" i="2"/>
  <c r="N738" i="5"/>
  <c r="O738" i="5" s="1"/>
  <c r="P738" i="5" s="1"/>
  <c r="Q738" i="5" s="1"/>
  <c r="N13" i="5"/>
  <c r="B13" i="5"/>
  <c r="L738" i="5"/>
  <c r="M738" i="5" s="1"/>
  <c r="N737" i="5"/>
  <c r="O737" i="5" s="1"/>
  <c r="P737" i="5" s="1"/>
  <c r="Q737" i="5" s="1"/>
  <c r="L737" i="5"/>
  <c r="M737" i="5" s="1"/>
  <c r="N188" i="5"/>
  <c r="O188" i="5" s="1"/>
  <c r="P188" i="5" s="1"/>
  <c r="Q188" i="5" s="1"/>
  <c r="B188" i="5"/>
  <c r="L138" i="8"/>
  <c r="M138" i="8" s="1"/>
  <c r="O143" i="19"/>
  <c r="P143" i="19"/>
  <c r="Q143" i="19"/>
  <c r="L143" i="19"/>
  <c r="M143" i="19" s="1"/>
  <c r="R143" i="19" s="1"/>
  <c r="O142" i="19"/>
  <c r="P142" i="19" s="1"/>
  <c r="Q142" i="19" s="1"/>
  <c r="L142" i="19"/>
  <c r="M142" i="19" s="1"/>
  <c r="R142" i="19" s="1"/>
  <c r="O139" i="19"/>
  <c r="P139" i="19"/>
  <c r="Q139" i="19"/>
  <c r="L139" i="19"/>
  <c r="M139" i="19" s="1"/>
  <c r="O136" i="19"/>
  <c r="P136" i="19" s="1"/>
  <c r="Q136" i="19" s="1"/>
  <c r="L136" i="19"/>
  <c r="M136" i="19"/>
  <c r="R136" i="19"/>
  <c r="O133" i="19"/>
  <c r="P133" i="19" s="1"/>
  <c r="Q133" i="19" s="1"/>
  <c r="L133" i="19"/>
  <c r="M133" i="19" s="1"/>
  <c r="R133" i="19" s="1"/>
  <c r="U126" i="19"/>
  <c r="R124" i="19"/>
  <c r="N124" i="19"/>
  <c r="O122" i="19"/>
  <c r="P122" i="19"/>
  <c r="Q122" i="19"/>
  <c r="L122" i="19"/>
  <c r="M122" i="19" s="1"/>
  <c r="O121" i="19"/>
  <c r="N137" i="8" s="1"/>
  <c r="L121" i="19"/>
  <c r="M121" i="19"/>
  <c r="R121" i="19" s="1"/>
  <c r="O120" i="19"/>
  <c r="L120" i="19"/>
  <c r="M120" i="19" s="1"/>
  <c r="R120" i="19" s="1"/>
  <c r="O115" i="19"/>
  <c r="P115" i="19"/>
  <c r="Q115" i="19" s="1"/>
  <c r="L115" i="19"/>
  <c r="M115" i="19"/>
  <c r="N114" i="19"/>
  <c r="O114" i="19" s="1"/>
  <c r="P114" i="19" s="1"/>
  <c r="Q114" i="19" s="1"/>
  <c r="L114" i="19"/>
  <c r="M114" i="19" s="1"/>
  <c r="R114" i="19" s="1"/>
  <c r="N113" i="19"/>
  <c r="O113" i="19" s="1"/>
  <c r="P113" i="19" s="1"/>
  <c r="Q113" i="19" s="1"/>
  <c r="L113" i="19"/>
  <c r="M113" i="19" s="1"/>
  <c r="N112" i="19"/>
  <c r="L112" i="19"/>
  <c r="M112" i="19" s="1"/>
  <c r="N107" i="19"/>
  <c r="O107" i="19" s="1"/>
  <c r="P107" i="19" s="1"/>
  <c r="Q107" i="19" s="1"/>
  <c r="L107" i="19"/>
  <c r="M107" i="19" s="1"/>
  <c r="N106" i="19"/>
  <c r="O106" i="19"/>
  <c r="P106" i="19" s="1"/>
  <c r="Q106" i="19" s="1"/>
  <c r="L106" i="19"/>
  <c r="M106" i="19"/>
  <c r="O105" i="19"/>
  <c r="P105" i="19" s="1"/>
  <c r="Q105" i="19" s="1"/>
  <c r="L105" i="19"/>
  <c r="M105" i="19" s="1"/>
  <c r="R105" i="19" s="1"/>
  <c r="N104" i="19"/>
  <c r="O104" i="19" s="1"/>
  <c r="P104" i="19" s="1"/>
  <c r="Q104" i="19" s="1"/>
  <c r="L104" i="19"/>
  <c r="M104" i="19" s="1"/>
  <c r="N103" i="19"/>
  <c r="O103" i="19" s="1"/>
  <c r="P103" i="19" s="1"/>
  <c r="Q103" i="19" s="1"/>
  <c r="L103" i="19"/>
  <c r="M103" i="19"/>
  <c r="O102" i="19"/>
  <c r="P102" i="19" s="1"/>
  <c r="Q102" i="19" s="1"/>
  <c r="L102" i="19"/>
  <c r="M102" i="19" s="1"/>
  <c r="R102" i="19" s="1"/>
  <c r="O101" i="19"/>
  <c r="L101" i="19"/>
  <c r="M101" i="19"/>
  <c r="O95" i="19"/>
  <c r="P95" i="19" s="1"/>
  <c r="Q95" i="19" s="1"/>
  <c r="L95" i="19"/>
  <c r="M95" i="19" s="1"/>
  <c r="O94" i="19"/>
  <c r="P94" i="19" s="1"/>
  <c r="Q94" i="19" s="1"/>
  <c r="L94" i="19"/>
  <c r="M94" i="19" s="1"/>
  <c r="O93" i="19"/>
  <c r="P93" i="19"/>
  <c r="Q93" i="19" s="1"/>
  <c r="L93" i="19"/>
  <c r="M93" i="19"/>
  <c r="O92" i="19"/>
  <c r="P92" i="19" s="1"/>
  <c r="Q92" i="19" s="1"/>
  <c r="L92" i="19"/>
  <c r="M92" i="19"/>
  <c r="O91" i="19"/>
  <c r="P91" i="19"/>
  <c r="Q91" i="19"/>
  <c r="L91" i="19"/>
  <c r="M91" i="19" s="1"/>
  <c r="R91" i="19" s="1"/>
  <c r="S91" i="19" s="1"/>
  <c r="O90" i="19"/>
  <c r="P90" i="19" s="1"/>
  <c r="Q90" i="19" s="1"/>
  <c r="L90" i="19"/>
  <c r="M90" i="19" s="1"/>
  <c r="R90" i="19" s="1"/>
  <c r="O89" i="19"/>
  <c r="P89" i="19"/>
  <c r="Q89" i="19" s="1"/>
  <c r="R89" i="19" s="1"/>
  <c r="L89" i="19"/>
  <c r="M89" i="19"/>
  <c r="O88" i="19"/>
  <c r="P88" i="19" s="1"/>
  <c r="Q88" i="19" s="1"/>
  <c r="L88" i="19"/>
  <c r="M88" i="19" s="1"/>
  <c r="O87" i="19"/>
  <c r="P87" i="19"/>
  <c r="Q87" i="19" s="1"/>
  <c r="L87" i="19"/>
  <c r="M87" i="19" s="1"/>
  <c r="R87" i="19" s="1"/>
  <c r="O86" i="19"/>
  <c r="P86" i="19" s="1"/>
  <c r="Q86" i="19" s="1"/>
  <c r="L86" i="19"/>
  <c r="M86" i="19" s="1"/>
  <c r="O85" i="19"/>
  <c r="P85" i="19"/>
  <c r="Q85" i="19" s="1"/>
  <c r="L85" i="19"/>
  <c r="M85" i="19"/>
  <c r="O84" i="19"/>
  <c r="P84" i="19" s="1"/>
  <c r="Q84" i="19" s="1"/>
  <c r="L84" i="19"/>
  <c r="M84" i="19"/>
  <c r="R84" i="19" s="1"/>
  <c r="O83" i="19"/>
  <c r="P83" i="19"/>
  <c r="Q83" i="19"/>
  <c r="L83" i="19"/>
  <c r="M83" i="19" s="1"/>
  <c r="O82" i="19"/>
  <c r="P82" i="19" s="1"/>
  <c r="Q82" i="19" s="1"/>
  <c r="L82" i="19"/>
  <c r="M82" i="19" s="1"/>
  <c r="R82" i="19" s="1"/>
  <c r="O81" i="19"/>
  <c r="P81" i="19"/>
  <c r="Q81" i="19"/>
  <c r="L81" i="19"/>
  <c r="M81" i="19" s="1"/>
  <c r="O80" i="19"/>
  <c r="P80" i="19"/>
  <c r="Q80" i="19" s="1"/>
  <c r="L80" i="19"/>
  <c r="M80" i="19" s="1"/>
  <c r="O79" i="19"/>
  <c r="P79" i="19" s="1"/>
  <c r="Q79" i="19" s="1"/>
  <c r="L79" i="19"/>
  <c r="M79" i="19" s="1"/>
  <c r="O78" i="19"/>
  <c r="P78" i="19" s="1"/>
  <c r="Q78" i="19" s="1"/>
  <c r="L78" i="19"/>
  <c r="M78" i="19" s="1"/>
  <c r="R78" i="19" s="1"/>
  <c r="O77" i="19"/>
  <c r="P77" i="19" s="1"/>
  <c r="Q77" i="19" s="1"/>
  <c r="L77" i="19"/>
  <c r="M77" i="19"/>
  <c r="R77" i="19" s="1"/>
  <c r="U77" i="19" s="1"/>
  <c r="O76" i="19"/>
  <c r="P76" i="19"/>
  <c r="Q76" i="19" s="1"/>
  <c r="L76" i="19"/>
  <c r="M76" i="19"/>
  <c r="R76" i="19"/>
  <c r="O75" i="19"/>
  <c r="P75" i="19" s="1"/>
  <c r="Q75" i="19" s="1"/>
  <c r="L75" i="19"/>
  <c r="M75" i="19" s="1"/>
  <c r="R75" i="19" s="1"/>
  <c r="U75" i="19" s="1"/>
  <c r="O74" i="19"/>
  <c r="P74" i="19" s="1"/>
  <c r="Q74" i="19" s="1"/>
  <c r="L74" i="19"/>
  <c r="M74" i="19"/>
  <c r="N73" i="19"/>
  <c r="O73" i="19" s="1"/>
  <c r="P73" i="19" s="1"/>
  <c r="Q73" i="19" s="1"/>
  <c r="L73" i="19"/>
  <c r="M73" i="19" s="1"/>
  <c r="O72" i="19"/>
  <c r="P72" i="19" s="1"/>
  <c r="Q72" i="19" s="1"/>
  <c r="L72" i="19"/>
  <c r="M72" i="19"/>
  <c r="R72" i="19" s="1"/>
  <c r="N71" i="19"/>
  <c r="O71" i="19"/>
  <c r="P71" i="19"/>
  <c r="Q71" i="19" s="1"/>
  <c r="L71" i="19"/>
  <c r="M71" i="19"/>
  <c r="O70" i="19"/>
  <c r="P70" i="19" s="1"/>
  <c r="Q70" i="19" s="1"/>
  <c r="L70" i="19"/>
  <c r="M70" i="19"/>
  <c r="R70" i="19" s="1"/>
  <c r="O69" i="19"/>
  <c r="P69" i="19"/>
  <c r="Q69" i="19"/>
  <c r="L69" i="19"/>
  <c r="M69" i="19" s="1"/>
  <c r="R69" i="19" s="1"/>
  <c r="O68" i="19"/>
  <c r="P68" i="19" s="1"/>
  <c r="Q68" i="19" s="1"/>
  <c r="L68" i="19"/>
  <c r="M68" i="19"/>
  <c r="R68" i="19" s="1"/>
  <c r="O67" i="19"/>
  <c r="P67" i="19"/>
  <c r="Q67" i="19"/>
  <c r="L67" i="19"/>
  <c r="M67" i="19" s="1"/>
  <c r="R67" i="19" s="1"/>
  <c r="O66" i="19"/>
  <c r="P66" i="19" s="1"/>
  <c r="Q66" i="19" s="1"/>
  <c r="L66" i="19"/>
  <c r="M66" i="19"/>
  <c r="R66" i="19" s="1"/>
  <c r="O65" i="19"/>
  <c r="P65" i="19"/>
  <c r="Q65" i="19" s="1"/>
  <c r="L65" i="19"/>
  <c r="M65" i="19"/>
  <c r="R65" i="19"/>
  <c r="O64" i="19"/>
  <c r="P64" i="19" s="1"/>
  <c r="Q64" i="19" s="1"/>
  <c r="L64" i="19"/>
  <c r="M64" i="19" s="1"/>
  <c r="R64" i="19" s="1"/>
  <c r="O63" i="19"/>
  <c r="P63" i="19"/>
  <c r="Q63" i="19"/>
  <c r="N63" i="19"/>
  <c r="R63" i="19"/>
  <c r="L63" i="19"/>
  <c r="M63" i="19" s="1"/>
  <c r="N62" i="19"/>
  <c r="O62" i="19" s="1"/>
  <c r="P62" i="19" s="1"/>
  <c r="Q62" i="19" s="1"/>
  <c r="L62" i="19"/>
  <c r="M62" i="19"/>
  <c r="O61" i="19"/>
  <c r="P61" i="19" s="1"/>
  <c r="Q61" i="19" s="1"/>
  <c r="L61" i="19"/>
  <c r="M61" i="19"/>
  <c r="R61" i="19"/>
  <c r="O60" i="19"/>
  <c r="P60" i="19" s="1"/>
  <c r="Q60" i="19" s="1"/>
  <c r="L60" i="19"/>
  <c r="M60" i="19" s="1"/>
  <c r="R60" i="19"/>
  <c r="O59" i="19"/>
  <c r="P59" i="19"/>
  <c r="Q59" i="19" s="1"/>
  <c r="L59" i="19"/>
  <c r="M59" i="19"/>
  <c r="R59" i="19" s="1"/>
  <c r="Q58" i="19"/>
  <c r="O58" i="19"/>
  <c r="P58" i="19" s="1"/>
  <c r="L58" i="19"/>
  <c r="M58" i="19" s="1"/>
  <c r="R58" i="19" s="1"/>
  <c r="O57" i="19"/>
  <c r="P57" i="19" s="1"/>
  <c r="L57" i="19"/>
  <c r="M57" i="19"/>
  <c r="R57" i="19"/>
  <c r="N53" i="19"/>
  <c r="O51" i="19"/>
  <c r="P51" i="19"/>
  <c r="Q51" i="19"/>
  <c r="R51" i="19" s="1"/>
  <c r="L51" i="19"/>
  <c r="M51" i="19" s="1"/>
  <c r="O50" i="19"/>
  <c r="P50" i="19"/>
  <c r="Q50" i="19" s="1"/>
  <c r="L50" i="19"/>
  <c r="M50" i="19"/>
  <c r="R50" i="19" s="1"/>
  <c r="O49" i="19"/>
  <c r="P49" i="19" s="1"/>
  <c r="Q49" i="19" s="1"/>
  <c r="L49" i="19"/>
  <c r="M49" i="19" s="1"/>
  <c r="O48" i="19"/>
  <c r="P48" i="19"/>
  <c r="Q48" i="19" s="1"/>
  <c r="L48" i="19"/>
  <c r="M48" i="19" s="1"/>
  <c r="O47" i="19"/>
  <c r="P47" i="19"/>
  <c r="Q47" i="19" s="1"/>
  <c r="R47" i="19" s="1"/>
  <c r="M47" i="19"/>
  <c r="L47" i="19"/>
  <c r="O46" i="19"/>
  <c r="P46" i="19" s="1"/>
  <c r="Q46" i="19" s="1"/>
  <c r="L46" i="19"/>
  <c r="M46" i="19"/>
  <c r="O45" i="19"/>
  <c r="P45" i="19" s="1"/>
  <c r="Q45" i="19" s="1"/>
  <c r="L45" i="19"/>
  <c r="M45" i="19" s="1"/>
  <c r="O44" i="19"/>
  <c r="P44" i="19"/>
  <c r="Q44" i="19" s="1"/>
  <c r="L44" i="19"/>
  <c r="M44" i="19" s="1"/>
  <c r="O43" i="19"/>
  <c r="P43" i="19" s="1"/>
  <c r="Q43" i="19" s="1"/>
  <c r="L43" i="19"/>
  <c r="M43" i="19" s="1"/>
  <c r="R43" i="19" s="1"/>
  <c r="O42" i="19"/>
  <c r="N46" i="8"/>
  <c r="L42" i="19"/>
  <c r="M42" i="19"/>
  <c r="R42" i="19" s="1"/>
  <c r="S42" i="19" s="1"/>
  <c r="O41" i="19"/>
  <c r="P41" i="19"/>
  <c r="Q41" i="19" s="1"/>
  <c r="L41" i="19"/>
  <c r="M41" i="19" s="1"/>
  <c r="R41" i="19" s="1"/>
  <c r="O40" i="19"/>
  <c r="N43" i="8" s="1"/>
  <c r="L40" i="19"/>
  <c r="M40" i="19" s="1"/>
  <c r="R40" i="19" s="1"/>
  <c r="U40" i="19" s="1"/>
  <c r="O35" i="19"/>
  <c r="P35" i="19" s="1"/>
  <c r="Q35" i="19" s="1"/>
  <c r="L35" i="19"/>
  <c r="M35" i="19"/>
  <c r="P34" i="19"/>
  <c r="Q34" i="19"/>
  <c r="O34" i="19"/>
  <c r="M34" i="19"/>
  <c r="L34" i="19"/>
  <c r="O33" i="19"/>
  <c r="P33" i="19" s="1"/>
  <c r="Q33" i="19" s="1"/>
  <c r="L33" i="19"/>
  <c r="M33" i="19"/>
  <c r="O32" i="19"/>
  <c r="P32" i="19"/>
  <c r="Q32" i="19" s="1"/>
  <c r="L32" i="19"/>
  <c r="M32" i="19" s="1"/>
  <c r="O31" i="19"/>
  <c r="P31" i="19" s="1"/>
  <c r="Q31" i="19" s="1"/>
  <c r="L31" i="19"/>
  <c r="M31" i="19"/>
  <c r="O30" i="19"/>
  <c r="P30" i="19" s="1"/>
  <c r="Q30" i="19" s="1"/>
  <c r="L30" i="19"/>
  <c r="M30" i="19" s="1"/>
  <c r="R30" i="19" s="1"/>
  <c r="O29" i="19"/>
  <c r="P29" i="19" s="1"/>
  <c r="Q29" i="19" s="1"/>
  <c r="L29" i="19"/>
  <c r="M29" i="19" s="1"/>
  <c r="R29" i="19" s="1"/>
  <c r="O28" i="19"/>
  <c r="P28" i="19"/>
  <c r="Q28" i="19" s="1"/>
  <c r="L28" i="19"/>
  <c r="M28" i="19" s="1"/>
  <c r="O27" i="19"/>
  <c r="P27" i="19" s="1"/>
  <c r="Q27" i="19" s="1"/>
  <c r="M27" i="19"/>
  <c r="R27" i="19"/>
  <c r="L27" i="19"/>
  <c r="O26" i="19"/>
  <c r="P26" i="19" s="1"/>
  <c r="Q26" i="19" s="1"/>
  <c r="L26" i="19"/>
  <c r="M26" i="19"/>
  <c r="N25" i="19"/>
  <c r="O25" i="19"/>
  <c r="P25" i="19" s="1"/>
  <c r="Q25" i="19" s="1"/>
  <c r="L25" i="19"/>
  <c r="M25" i="19"/>
  <c r="R25" i="19" s="1"/>
  <c r="O24" i="19"/>
  <c r="P24" i="19" s="1"/>
  <c r="Q24" i="19" s="1"/>
  <c r="L24" i="19"/>
  <c r="M24" i="19"/>
  <c r="R24" i="19" s="1"/>
  <c r="O23" i="19"/>
  <c r="P23" i="19" s="1"/>
  <c r="Q23" i="19" s="1"/>
  <c r="L23" i="19"/>
  <c r="M23" i="19"/>
  <c r="R23" i="19" s="1"/>
  <c r="O22" i="19"/>
  <c r="P22" i="19" s="1"/>
  <c r="Q22" i="19" s="1"/>
  <c r="L22" i="19"/>
  <c r="M22" i="19"/>
  <c r="R22" i="19" s="1"/>
  <c r="O21" i="19"/>
  <c r="P21" i="19" s="1"/>
  <c r="Q21" i="19" s="1"/>
  <c r="L21" i="19"/>
  <c r="M21" i="19"/>
  <c r="N20" i="19"/>
  <c r="N37" i="19"/>
  <c r="L20" i="19"/>
  <c r="M20" i="19"/>
  <c r="R20" i="19" s="1"/>
  <c r="O19" i="19"/>
  <c r="P19" i="19" s="1"/>
  <c r="Q19" i="19" s="1"/>
  <c r="L19" i="19"/>
  <c r="M19" i="19"/>
  <c r="R19" i="19" s="1"/>
  <c r="O18" i="19"/>
  <c r="P18" i="19" s="1"/>
  <c r="Q18" i="19" s="1"/>
  <c r="L18" i="19"/>
  <c r="M18" i="19"/>
  <c r="R18" i="19" s="1"/>
  <c r="O17" i="19"/>
  <c r="P17" i="19" s="1"/>
  <c r="Q17" i="19" s="1"/>
  <c r="L17" i="19"/>
  <c r="M17" i="19"/>
  <c r="R17" i="19" s="1"/>
  <c r="O16" i="19"/>
  <c r="P16" i="19" s="1"/>
  <c r="Q16" i="19" s="1"/>
  <c r="L16" i="19"/>
  <c r="M16" i="19"/>
  <c r="R16" i="19" s="1"/>
  <c r="O15" i="19"/>
  <c r="P15" i="19" s="1"/>
  <c r="Q15" i="19" s="1"/>
  <c r="L15" i="19"/>
  <c r="M15" i="19" s="1"/>
  <c r="R15" i="19" s="1"/>
  <c r="O14" i="19"/>
  <c r="N13" i="8"/>
  <c r="L14" i="19"/>
  <c r="M14" i="19"/>
  <c r="R14" i="19" s="1"/>
  <c r="A3" i="19"/>
  <c r="S2" i="19" s="1"/>
  <c r="T12" i="19" s="1"/>
  <c r="S1" i="19"/>
  <c r="S12" i="19"/>
  <c r="O161" i="8"/>
  <c r="P161" i="8"/>
  <c r="Q161" i="8" s="1"/>
  <c r="O160" i="8"/>
  <c r="P160" i="8" s="1"/>
  <c r="Q160" i="8" s="1"/>
  <c r="O157" i="8"/>
  <c r="P157" i="8"/>
  <c r="Q157" i="8" s="1"/>
  <c r="O154" i="8"/>
  <c r="P154" i="8" s="1"/>
  <c r="Q154" i="8" s="1"/>
  <c r="O151" i="8"/>
  <c r="P151" i="8"/>
  <c r="Q151" i="8" s="1"/>
  <c r="O139" i="8"/>
  <c r="P139" i="8" s="1"/>
  <c r="Q139" i="8" s="1"/>
  <c r="O136" i="8"/>
  <c r="P136" i="8"/>
  <c r="Q136" i="8" s="1"/>
  <c r="O130" i="8"/>
  <c r="P130" i="8" s="1"/>
  <c r="O115" i="8"/>
  <c r="P115" i="8" s="1"/>
  <c r="Q115" i="8" s="1"/>
  <c r="O118" i="8"/>
  <c r="P118" i="8"/>
  <c r="Q118" i="8" s="1"/>
  <c r="O114" i="8"/>
  <c r="P114" i="8" s="1"/>
  <c r="Q114" i="8" s="1"/>
  <c r="O65" i="8"/>
  <c r="P65" i="8"/>
  <c r="O66" i="8"/>
  <c r="P66" i="8"/>
  <c r="Q66" i="8" s="1"/>
  <c r="O67" i="8"/>
  <c r="P67" i="8" s="1"/>
  <c r="Q67" i="8" s="1"/>
  <c r="O68" i="8"/>
  <c r="P68" i="8"/>
  <c r="Q68" i="8" s="1"/>
  <c r="O71" i="8"/>
  <c r="P71" i="8" s="1"/>
  <c r="Q71" i="8" s="1"/>
  <c r="O72" i="8"/>
  <c r="P72" i="8"/>
  <c r="Q72" i="8" s="1"/>
  <c r="O73" i="8"/>
  <c r="P73" i="8" s="1"/>
  <c r="Q73" i="8" s="1"/>
  <c r="O74" i="8"/>
  <c r="P74" i="8"/>
  <c r="Q74" i="8" s="1"/>
  <c r="O75" i="8"/>
  <c r="P75" i="8" s="1"/>
  <c r="Q75" i="8" s="1"/>
  <c r="O76" i="8"/>
  <c r="P76" i="8"/>
  <c r="Q76" i="8" s="1"/>
  <c r="O77" i="8"/>
  <c r="P77" i="8" s="1"/>
  <c r="Q77" i="8" s="1"/>
  <c r="O79" i="8"/>
  <c r="P79" i="8"/>
  <c r="Q79" i="8" s="1"/>
  <c r="O81" i="8"/>
  <c r="P81" i="8" s="1"/>
  <c r="Q81" i="8" s="1"/>
  <c r="O82" i="8"/>
  <c r="P82" i="8"/>
  <c r="Q82" i="8" s="1"/>
  <c r="O83" i="8"/>
  <c r="P83" i="8" s="1"/>
  <c r="Q83" i="8" s="1"/>
  <c r="O84" i="8"/>
  <c r="P84" i="8"/>
  <c r="Q84" i="8" s="1"/>
  <c r="O85" i="8"/>
  <c r="P85" i="8" s="1"/>
  <c r="Q85" i="8" s="1"/>
  <c r="O86" i="8"/>
  <c r="P86" i="8"/>
  <c r="Q86" i="8" s="1"/>
  <c r="O87" i="8"/>
  <c r="P87" i="8" s="1"/>
  <c r="Q87" i="8" s="1"/>
  <c r="O88" i="8"/>
  <c r="P88" i="8"/>
  <c r="Q88" i="8" s="1"/>
  <c r="O89" i="8"/>
  <c r="P89" i="8" s="1"/>
  <c r="Q89" i="8" s="1"/>
  <c r="O90" i="8"/>
  <c r="P90" i="8"/>
  <c r="Q90" i="8" s="1"/>
  <c r="O91" i="8"/>
  <c r="P91" i="8" s="1"/>
  <c r="Q91" i="8" s="1"/>
  <c r="O92" i="8"/>
  <c r="P92" i="8"/>
  <c r="Q92" i="8" s="1"/>
  <c r="O93" i="8"/>
  <c r="P93" i="8" s="1"/>
  <c r="Q93" i="8" s="1"/>
  <c r="O94" i="8"/>
  <c r="P94" i="8"/>
  <c r="Q94" i="8" s="1"/>
  <c r="O95" i="8"/>
  <c r="P95" i="8" s="1"/>
  <c r="Q95" i="8" s="1"/>
  <c r="O96" i="8"/>
  <c r="P96" i="8"/>
  <c r="Q96" i="8" s="1"/>
  <c r="O97" i="8"/>
  <c r="P97" i="8" s="1"/>
  <c r="Q97" i="8" s="1"/>
  <c r="O98" i="8"/>
  <c r="P98" i="8"/>
  <c r="Q98" i="8" s="1"/>
  <c r="O99" i="8"/>
  <c r="P99" i="8" s="1"/>
  <c r="Q99" i="8" s="1"/>
  <c r="O100" i="8"/>
  <c r="P100" i="8"/>
  <c r="Q100" i="8" s="1"/>
  <c r="O101" i="8"/>
  <c r="P101" i="8" s="1"/>
  <c r="Q101" i="8" s="1"/>
  <c r="O102" i="8"/>
  <c r="P102" i="8"/>
  <c r="Q102" i="8" s="1"/>
  <c r="O64" i="8"/>
  <c r="P64" i="8" s="1"/>
  <c r="Q64" i="8" s="1"/>
  <c r="O17" i="8"/>
  <c r="P17" i="8" s="1"/>
  <c r="Q17" i="8" s="1"/>
  <c r="O18" i="8"/>
  <c r="P18" i="8" s="1"/>
  <c r="Q18" i="8" s="1"/>
  <c r="O19" i="8"/>
  <c r="P19" i="8"/>
  <c r="Q19" i="8" s="1"/>
  <c r="O20" i="8"/>
  <c r="P20" i="8" s="1"/>
  <c r="Q20" i="8" s="1"/>
  <c r="O22" i="8"/>
  <c r="P22" i="8"/>
  <c r="Q22" i="8" s="1"/>
  <c r="O23" i="8"/>
  <c r="P23" i="8" s="1"/>
  <c r="Q23" i="8" s="1"/>
  <c r="O24" i="8"/>
  <c r="P24" i="8"/>
  <c r="Q24" i="8" s="1"/>
  <c r="O25" i="8"/>
  <c r="P25" i="8" s="1"/>
  <c r="Q25" i="8" s="1"/>
  <c r="O27" i="8"/>
  <c r="P27" i="8"/>
  <c r="Q27" i="8" s="1"/>
  <c r="O28" i="8"/>
  <c r="P28" i="8" s="1"/>
  <c r="Q28" i="8" s="1"/>
  <c r="O29" i="8"/>
  <c r="P29" i="8"/>
  <c r="Q29" i="8" s="1"/>
  <c r="O30" i="8"/>
  <c r="P30" i="8" s="1"/>
  <c r="Q30" i="8" s="1"/>
  <c r="O31" i="8"/>
  <c r="P31" i="8"/>
  <c r="Q31" i="8" s="1"/>
  <c r="O32" i="8"/>
  <c r="P32" i="8" s="1"/>
  <c r="O33" i="8"/>
  <c r="P33" i="8" s="1"/>
  <c r="Q33" i="8" s="1"/>
  <c r="O34" i="8"/>
  <c r="P34" i="8"/>
  <c r="Q34" i="8" s="1"/>
  <c r="O35" i="8"/>
  <c r="P35" i="8" s="1"/>
  <c r="Q35" i="8" s="1"/>
  <c r="O36" i="8"/>
  <c r="P36" i="8"/>
  <c r="Q36" i="8" s="1"/>
  <c r="O45" i="8"/>
  <c r="P45" i="8" s="1"/>
  <c r="Q45" i="8" s="1"/>
  <c r="O50" i="8"/>
  <c r="P50" i="8"/>
  <c r="Q50" i="8" s="1"/>
  <c r="O51" i="8"/>
  <c r="P51" i="8" s="1"/>
  <c r="Q51" i="8" s="1"/>
  <c r="O52" i="8"/>
  <c r="P52" i="8"/>
  <c r="Q52" i="8" s="1"/>
  <c r="O53" i="8"/>
  <c r="P53" i="8" s="1"/>
  <c r="Q53" i="8" s="1"/>
  <c r="O54" i="8"/>
  <c r="P54" i="8"/>
  <c r="Q54" i="8" s="1"/>
  <c r="O55" i="8"/>
  <c r="P55" i="8" s="1"/>
  <c r="Q55" i="8" s="1"/>
  <c r="O56" i="8"/>
  <c r="P56" i="8"/>
  <c r="Q56" i="8" s="1"/>
  <c r="O57" i="8"/>
  <c r="P57" i="8" s="1"/>
  <c r="Q57" i="8" s="1"/>
  <c r="L15" i="8"/>
  <c r="L17" i="8"/>
  <c r="M17" i="8" s="1"/>
  <c r="L18" i="8"/>
  <c r="M18" i="8"/>
  <c r="L19" i="8"/>
  <c r="M19" i="8"/>
  <c r="L13" i="8"/>
  <c r="M13" i="8"/>
  <c r="L433" i="2"/>
  <c r="M433" i="2" s="1"/>
  <c r="L434" i="2"/>
  <c r="M434" i="2" s="1"/>
  <c r="L435" i="2"/>
  <c r="M435" i="2" s="1"/>
  <c r="L432" i="2"/>
  <c r="M432" i="2" s="1"/>
  <c r="O432" i="2"/>
  <c r="P432" i="2" s="1"/>
  <c r="Q432" i="2" s="1"/>
  <c r="O433" i="2"/>
  <c r="P433" i="2" s="1"/>
  <c r="Q433" i="2" s="1"/>
  <c r="O434" i="2"/>
  <c r="P434" i="2" s="1"/>
  <c r="Q434" i="2" s="1"/>
  <c r="O435" i="2"/>
  <c r="P435" i="2" s="1"/>
  <c r="Q435" i="2" s="1"/>
  <c r="L368" i="2"/>
  <c r="K369" i="2" s="1"/>
  <c r="L369" i="2" s="1"/>
  <c r="M369" i="2" s="1"/>
  <c r="L15" i="2"/>
  <c r="K16" i="2" s="1"/>
  <c r="L16" i="2" s="1"/>
  <c r="M16" i="2" s="1"/>
  <c r="L410" i="2"/>
  <c r="L404" i="2"/>
  <c r="K405" i="2" s="1"/>
  <c r="L405" i="2" s="1"/>
  <c r="M405" i="2" s="1"/>
  <c r="L408" i="2"/>
  <c r="K409" i="2" s="1"/>
  <c r="L409" i="2" s="1"/>
  <c r="M409" i="2" s="1"/>
  <c r="N432" i="18"/>
  <c r="O432" i="18" s="1"/>
  <c r="P432" i="18" s="1"/>
  <c r="Q432" i="18" s="1"/>
  <c r="L432" i="18"/>
  <c r="M432" i="18" s="1"/>
  <c r="R432" i="18" s="1"/>
  <c r="O431" i="18"/>
  <c r="P431" i="18"/>
  <c r="Q431" i="18" s="1"/>
  <c r="L431" i="18"/>
  <c r="M431" i="18" s="1"/>
  <c r="R431" i="18" s="1"/>
  <c r="P427" i="18"/>
  <c r="Q427" i="18"/>
  <c r="O427" i="18"/>
  <c r="L427" i="18"/>
  <c r="M427" i="18" s="1"/>
  <c r="R427" i="18" s="1"/>
  <c r="O426" i="18"/>
  <c r="P426" i="18" s="1"/>
  <c r="Q426" i="18" s="1"/>
  <c r="L426" i="18"/>
  <c r="M426" i="18" s="1"/>
  <c r="R426" i="18" s="1"/>
  <c r="O425" i="18"/>
  <c r="P425" i="18"/>
  <c r="Q425" i="18" s="1"/>
  <c r="M425" i="18"/>
  <c r="R425" i="18" s="1"/>
  <c r="S425" i="18" s="1"/>
  <c r="L425" i="18"/>
  <c r="O424" i="18"/>
  <c r="P424" i="18" s="1"/>
  <c r="Q424" i="18" s="1"/>
  <c r="L424" i="18"/>
  <c r="M424" i="18"/>
  <c r="O423" i="18"/>
  <c r="P423" i="18"/>
  <c r="Q423" i="18" s="1"/>
  <c r="L423" i="18"/>
  <c r="M423" i="18" s="1"/>
  <c r="R423" i="18" s="1"/>
  <c r="O422" i="18"/>
  <c r="P422" i="18"/>
  <c r="Q422" i="18" s="1"/>
  <c r="L422" i="18"/>
  <c r="M422" i="18" s="1"/>
  <c r="R422" i="18"/>
  <c r="O421" i="18"/>
  <c r="P421" i="18" s="1"/>
  <c r="Q421" i="18" s="1"/>
  <c r="L421" i="18"/>
  <c r="M421" i="18"/>
  <c r="R421" i="18" s="1"/>
  <c r="S421" i="18" s="1"/>
  <c r="O420" i="18"/>
  <c r="P420" i="18"/>
  <c r="Q420" i="18"/>
  <c r="R420" i="18"/>
  <c r="L420" i="18"/>
  <c r="M420" i="18" s="1"/>
  <c r="O419" i="18"/>
  <c r="P419" i="18" s="1"/>
  <c r="Q419" i="18" s="1"/>
  <c r="L419" i="18"/>
  <c r="M419" i="18" s="1"/>
  <c r="R419" i="18" s="1"/>
  <c r="O418" i="18"/>
  <c r="P418" i="18" s="1"/>
  <c r="Q418" i="18" s="1"/>
  <c r="L418" i="18"/>
  <c r="M418" i="18" s="1"/>
  <c r="R418" i="18" s="1"/>
  <c r="N417" i="18"/>
  <c r="O417" i="18" s="1"/>
  <c r="P417" i="18" s="1"/>
  <c r="Q417" i="18" s="1"/>
  <c r="M417" i="18"/>
  <c r="R417" i="18" s="1"/>
  <c r="S417" i="18" s="1"/>
  <c r="L417" i="18"/>
  <c r="O416" i="18"/>
  <c r="P416" i="18" s="1"/>
  <c r="Q416" i="18"/>
  <c r="L416" i="18"/>
  <c r="M416" i="18" s="1"/>
  <c r="O415" i="18"/>
  <c r="P415" i="18" s="1"/>
  <c r="Q415" i="18" s="1"/>
  <c r="M415" i="18"/>
  <c r="L415" i="18"/>
  <c r="N414" i="18"/>
  <c r="O414" i="18"/>
  <c r="P414" i="18"/>
  <c r="Q414" i="18" s="1"/>
  <c r="L414" i="18"/>
  <c r="M414" i="18" s="1"/>
  <c r="R414" i="18" s="1"/>
  <c r="N413" i="18"/>
  <c r="O413" i="18"/>
  <c r="P413" i="18" s="1"/>
  <c r="Q413" i="18" s="1"/>
  <c r="L413" i="18"/>
  <c r="M413" i="18"/>
  <c r="R413" i="18" s="1"/>
  <c r="O412" i="18"/>
  <c r="P412" i="18" s="1"/>
  <c r="Q412" i="18"/>
  <c r="L412" i="18"/>
  <c r="M412" i="18" s="1"/>
  <c r="R412" i="18" s="1"/>
  <c r="S412" i="18" s="1"/>
  <c r="P411" i="18"/>
  <c r="Q411" i="18" s="1"/>
  <c r="O411" i="18"/>
  <c r="L411" i="18"/>
  <c r="M411" i="18"/>
  <c r="N410" i="18"/>
  <c r="O410" i="18" s="1"/>
  <c r="P410" i="18" s="1"/>
  <c r="Q410" i="18" s="1"/>
  <c r="L410" i="18"/>
  <c r="M410" i="18" s="1"/>
  <c r="R410" i="18" s="1"/>
  <c r="U410" i="18" s="1"/>
  <c r="O409" i="18"/>
  <c r="P409" i="18" s="1"/>
  <c r="Q409" i="18"/>
  <c r="L409" i="18"/>
  <c r="M409" i="18" s="1"/>
  <c r="P408" i="18"/>
  <c r="Q408" i="18"/>
  <c r="N408" i="18"/>
  <c r="O408" i="18" s="1"/>
  <c r="L408" i="18"/>
  <c r="M408" i="18"/>
  <c r="R408" i="18"/>
  <c r="O407" i="18"/>
  <c r="P407" i="18"/>
  <c r="Q407" i="18"/>
  <c r="L407" i="18"/>
  <c r="M407" i="18" s="1"/>
  <c r="O406" i="18"/>
  <c r="P406" i="18"/>
  <c r="Q406" i="18"/>
  <c r="L406" i="18"/>
  <c r="M406" i="18" s="1"/>
  <c r="P405" i="18"/>
  <c r="Q405" i="18"/>
  <c r="O405" i="18"/>
  <c r="L405" i="18"/>
  <c r="M405" i="18"/>
  <c r="R405" i="18"/>
  <c r="O404" i="18"/>
  <c r="P404" i="18"/>
  <c r="Q404" i="18"/>
  <c r="L404" i="18"/>
  <c r="M404" i="18" s="1"/>
  <c r="R404" i="18" s="1"/>
  <c r="O403" i="18"/>
  <c r="P403" i="18"/>
  <c r="Q403" i="18" s="1"/>
  <c r="L403" i="18"/>
  <c r="M403" i="18" s="1"/>
  <c r="R403" i="18" s="1"/>
  <c r="O402" i="18"/>
  <c r="P402" i="18"/>
  <c r="Q402" i="18"/>
  <c r="L402" i="18"/>
  <c r="M402" i="18" s="1"/>
  <c r="R402" i="18" s="1"/>
  <c r="P401" i="18"/>
  <c r="Q401" i="18"/>
  <c r="O401" i="18"/>
  <c r="L401" i="18"/>
  <c r="M401" i="18"/>
  <c r="R401" i="18"/>
  <c r="O400" i="18"/>
  <c r="P400" i="18"/>
  <c r="Q400" i="18"/>
  <c r="L400" i="18"/>
  <c r="M400" i="18" s="1"/>
  <c r="R400" i="18" s="1"/>
  <c r="O399" i="18"/>
  <c r="P399" i="18"/>
  <c r="Q399" i="18" s="1"/>
  <c r="L399" i="18"/>
  <c r="M399" i="18"/>
  <c r="R399" i="18"/>
  <c r="O398" i="18"/>
  <c r="P398" i="18"/>
  <c r="Q398" i="18"/>
  <c r="M398" i="18"/>
  <c r="R398" i="18" s="1"/>
  <c r="L398" i="18"/>
  <c r="N397" i="18"/>
  <c r="O397" i="18" s="1"/>
  <c r="P397" i="18" s="1"/>
  <c r="Q397" i="18" s="1"/>
  <c r="L397" i="18"/>
  <c r="M397" i="18"/>
  <c r="R397" i="18" s="1"/>
  <c r="O396" i="18"/>
  <c r="P396" i="18"/>
  <c r="Q396" i="18"/>
  <c r="L396" i="18"/>
  <c r="M396" i="18"/>
  <c r="O392" i="18"/>
  <c r="P392" i="18"/>
  <c r="Q392" i="18" s="1"/>
  <c r="M392" i="18"/>
  <c r="R392" i="18"/>
  <c r="S392" i="18"/>
  <c r="L392" i="18"/>
  <c r="O391" i="18"/>
  <c r="P391" i="18"/>
  <c r="Q391" i="18"/>
  <c r="L391" i="18"/>
  <c r="M391" i="18"/>
  <c r="R391" i="18"/>
  <c r="U391" i="18"/>
  <c r="O390" i="18"/>
  <c r="P390" i="18"/>
  <c r="Q390" i="18"/>
  <c r="L390" i="18"/>
  <c r="M390" i="18" s="1"/>
  <c r="R390" i="18" s="1"/>
  <c r="O389" i="18"/>
  <c r="P389" i="18"/>
  <c r="Q389" i="18" s="1"/>
  <c r="L389" i="18"/>
  <c r="M389" i="18"/>
  <c r="R389" i="18"/>
  <c r="O388" i="18"/>
  <c r="P388" i="18"/>
  <c r="Q388" i="18"/>
  <c r="M388" i="18"/>
  <c r="R388" i="18" s="1"/>
  <c r="L388" i="18"/>
  <c r="P387" i="18"/>
  <c r="Q387" i="18"/>
  <c r="O387" i="18"/>
  <c r="L387" i="18"/>
  <c r="M387" i="18"/>
  <c r="R387" i="18"/>
  <c r="U387" i="18" s="1"/>
  <c r="O386" i="18"/>
  <c r="P386" i="18"/>
  <c r="Q386" i="18"/>
  <c r="R386" i="18" s="1"/>
  <c r="L386" i="18"/>
  <c r="M386" i="18"/>
  <c r="Q385" i="18"/>
  <c r="O385" i="18"/>
  <c r="P385" i="18"/>
  <c r="L385" i="18"/>
  <c r="M385" i="18" s="1"/>
  <c r="R385" i="18" s="1"/>
  <c r="O384" i="18"/>
  <c r="P384" i="18"/>
  <c r="Q384" i="18" s="1"/>
  <c r="R384" i="18" s="1"/>
  <c r="L384" i="18"/>
  <c r="M384" i="18"/>
  <c r="O383" i="18"/>
  <c r="P383" i="18" s="1"/>
  <c r="Q383" i="18" s="1"/>
  <c r="L383" i="18"/>
  <c r="M383" i="18" s="1"/>
  <c r="R383" i="18" s="1"/>
  <c r="U383" i="18" s="1"/>
  <c r="P382" i="18"/>
  <c r="Q382" i="18" s="1"/>
  <c r="O382" i="18"/>
  <c r="L382" i="18"/>
  <c r="M382" i="18"/>
  <c r="O381" i="18"/>
  <c r="P381" i="18"/>
  <c r="Q381" i="18"/>
  <c r="L381" i="18"/>
  <c r="M381" i="18" s="1"/>
  <c r="R381" i="18" s="1"/>
  <c r="O380" i="18"/>
  <c r="P380" i="18" s="1"/>
  <c r="Q380" i="18" s="1"/>
  <c r="L380" i="18"/>
  <c r="M380" i="18"/>
  <c r="R380" i="18" s="1"/>
  <c r="O379" i="18"/>
  <c r="P379" i="18"/>
  <c r="Q379" i="18"/>
  <c r="L379" i="18"/>
  <c r="M379" i="18" s="1"/>
  <c r="R379" i="18" s="1"/>
  <c r="P378" i="18"/>
  <c r="Q378" i="18" s="1"/>
  <c r="O378" i="18"/>
  <c r="L378" i="18"/>
  <c r="M378" i="18" s="1"/>
  <c r="R378" i="18" s="1"/>
  <c r="O377" i="18"/>
  <c r="P377" i="18"/>
  <c r="Q377" i="18"/>
  <c r="L377" i="18"/>
  <c r="M377" i="18" s="1"/>
  <c r="R377" i="18" s="1"/>
  <c r="O376" i="18"/>
  <c r="P376" i="18" s="1"/>
  <c r="Q376" i="18" s="1"/>
  <c r="M376" i="18"/>
  <c r="R376" i="18"/>
  <c r="U376" i="18" s="1"/>
  <c r="L376" i="18"/>
  <c r="O375" i="18"/>
  <c r="P375" i="18"/>
  <c r="Q375" i="18" s="1"/>
  <c r="L375" i="18"/>
  <c r="M375" i="18"/>
  <c r="R375" i="18"/>
  <c r="O374" i="18"/>
  <c r="P374" i="18" s="1"/>
  <c r="Q374" i="18" s="1"/>
  <c r="L374" i="18"/>
  <c r="M374" i="18" s="1"/>
  <c r="R374" i="18" s="1"/>
  <c r="O373" i="18"/>
  <c r="P373" i="18"/>
  <c r="Q373" i="18" s="1"/>
  <c r="L373" i="18"/>
  <c r="M373" i="18"/>
  <c r="R373" i="18"/>
  <c r="O372" i="18"/>
  <c r="P372" i="18" s="1"/>
  <c r="Q372" i="18" s="1"/>
  <c r="L372" i="18"/>
  <c r="M372" i="18" s="1"/>
  <c r="R372" i="18" s="1"/>
  <c r="O371" i="18"/>
  <c r="P371" i="18"/>
  <c r="Q371" i="18" s="1"/>
  <c r="L371" i="18"/>
  <c r="M371" i="18"/>
  <c r="R371" i="18"/>
  <c r="O370" i="18"/>
  <c r="P370" i="18" s="1"/>
  <c r="Q370" i="18" s="1"/>
  <c r="L370" i="18"/>
  <c r="M370" i="18" s="1"/>
  <c r="R370" i="18" s="1"/>
  <c r="O369" i="18"/>
  <c r="P369" i="18"/>
  <c r="Q369" i="18" s="1"/>
  <c r="L369" i="18"/>
  <c r="M369" i="18"/>
  <c r="R369" i="18"/>
  <c r="O368" i="18"/>
  <c r="P368" i="18" s="1"/>
  <c r="Q368" i="18" s="1"/>
  <c r="L368" i="18"/>
  <c r="M368" i="18" s="1"/>
  <c r="R368" i="18" s="1"/>
  <c r="O365" i="18"/>
  <c r="P365" i="18"/>
  <c r="Q365" i="18" s="1"/>
  <c r="L365" i="18"/>
  <c r="M365" i="18"/>
  <c r="R365" i="18"/>
  <c r="O364" i="18"/>
  <c r="P364" i="18" s="1"/>
  <c r="Q364" i="18" s="1"/>
  <c r="L364" i="18"/>
  <c r="M364" i="18" s="1"/>
  <c r="R364" i="18" s="1"/>
  <c r="O363" i="18"/>
  <c r="P363" i="18"/>
  <c r="Q363" i="18" s="1"/>
  <c r="N363" i="18"/>
  <c r="L363" i="18"/>
  <c r="M363" i="18" s="1"/>
  <c r="R363" i="18" s="1"/>
  <c r="O362" i="18"/>
  <c r="P362" i="18"/>
  <c r="Q362" i="18"/>
  <c r="L362" i="18"/>
  <c r="M362" i="18" s="1"/>
  <c r="R362" i="18" s="1"/>
  <c r="O361" i="18"/>
  <c r="P361" i="18" s="1"/>
  <c r="Q361" i="18" s="1"/>
  <c r="L361" i="18"/>
  <c r="M361" i="18" s="1"/>
  <c r="R361" i="18" s="1"/>
  <c r="O360" i="18"/>
  <c r="P360" i="18"/>
  <c r="Q360" i="18"/>
  <c r="L360" i="18"/>
  <c r="M360" i="18" s="1"/>
  <c r="R360" i="18" s="1"/>
  <c r="N359" i="18"/>
  <c r="O359" i="18" s="1"/>
  <c r="P359" i="18" s="1"/>
  <c r="Q359" i="18" s="1"/>
  <c r="L359" i="18"/>
  <c r="M359" i="18" s="1"/>
  <c r="R359" i="18" s="1"/>
  <c r="N358" i="18"/>
  <c r="O358" i="18"/>
  <c r="P358" i="18" s="1"/>
  <c r="Q358" i="18" s="1"/>
  <c r="L358" i="18"/>
  <c r="M358" i="18"/>
  <c r="R358" i="18" s="1"/>
  <c r="O357" i="18"/>
  <c r="P357" i="18" s="1"/>
  <c r="Q357" i="18" s="1"/>
  <c r="L357" i="18"/>
  <c r="M357" i="18" s="1"/>
  <c r="R357" i="18" s="1"/>
  <c r="N356" i="18"/>
  <c r="O356" i="18" s="1"/>
  <c r="P356" i="18" s="1"/>
  <c r="Q356" i="18" s="1"/>
  <c r="L356" i="18"/>
  <c r="M356" i="18" s="1"/>
  <c r="R356" i="18" s="1"/>
  <c r="O355" i="18"/>
  <c r="P355" i="18"/>
  <c r="Q355" i="18" s="1"/>
  <c r="L355" i="18"/>
  <c r="M355" i="18"/>
  <c r="R355" i="18"/>
  <c r="S355" i="18" s="1"/>
  <c r="O354" i="18"/>
  <c r="P354" i="18" s="1"/>
  <c r="Q354" i="18" s="1"/>
  <c r="L354" i="18"/>
  <c r="M354" i="18" s="1"/>
  <c r="R354" i="18" s="1"/>
  <c r="N353" i="18"/>
  <c r="O353" i="18" s="1"/>
  <c r="P353" i="18" s="1"/>
  <c r="Q353" i="18" s="1"/>
  <c r="L353" i="18"/>
  <c r="M353" i="18" s="1"/>
  <c r="R353" i="18" s="1"/>
  <c r="O352" i="18"/>
  <c r="P352" i="18" s="1"/>
  <c r="Q352" i="18" s="1"/>
  <c r="L352" i="18"/>
  <c r="M352" i="18"/>
  <c r="R352" i="18" s="1"/>
  <c r="S352" i="18" s="1"/>
  <c r="O351" i="18"/>
  <c r="P351" i="18"/>
  <c r="Q351" i="18" s="1"/>
  <c r="L351" i="18"/>
  <c r="M351" i="18" s="1"/>
  <c r="R351" i="18" s="1"/>
  <c r="O349" i="18"/>
  <c r="P349" i="18" s="1"/>
  <c r="Q349" i="18" s="1"/>
  <c r="L349" i="18"/>
  <c r="M349" i="18"/>
  <c r="O348" i="18"/>
  <c r="P348" i="18" s="1"/>
  <c r="Q348" i="18" s="1"/>
  <c r="L348" i="18"/>
  <c r="M348" i="18" s="1"/>
  <c r="O347" i="18"/>
  <c r="P347" i="18"/>
  <c r="Q347" i="18"/>
  <c r="L347" i="18"/>
  <c r="M347" i="18" s="1"/>
  <c r="R347" i="18" s="1"/>
  <c r="N346" i="18"/>
  <c r="O346" i="18" s="1"/>
  <c r="P346" i="18" s="1"/>
  <c r="Q346" i="18" s="1"/>
  <c r="L346" i="18"/>
  <c r="M346" i="18" s="1"/>
  <c r="O343" i="18"/>
  <c r="P343" i="18"/>
  <c r="Q343" i="18" s="1"/>
  <c r="L343" i="18"/>
  <c r="M343" i="18" s="1"/>
  <c r="R343" i="18" s="1"/>
  <c r="N342" i="18"/>
  <c r="O342" i="18" s="1"/>
  <c r="P342" i="18" s="1"/>
  <c r="Q342" i="18" s="1"/>
  <c r="L342" i="18"/>
  <c r="M342" i="18" s="1"/>
  <c r="R342" i="18" s="1"/>
  <c r="O341" i="18"/>
  <c r="P341" i="18" s="1"/>
  <c r="Q341" i="18" s="1"/>
  <c r="L341" i="18"/>
  <c r="M341" i="18"/>
  <c r="R341" i="18" s="1"/>
  <c r="O340" i="18"/>
  <c r="P340" i="18"/>
  <c r="Q340" i="18" s="1"/>
  <c r="L340" i="18"/>
  <c r="M340" i="18" s="1"/>
  <c r="R340" i="18" s="1"/>
  <c r="O339" i="18"/>
  <c r="P339" i="18" s="1"/>
  <c r="Q339" i="18" s="1"/>
  <c r="N339" i="18"/>
  <c r="L339" i="18"/>
  <c r="M339" i="18" s="1"/>
  <c r="R339" i="18" s="1"/>
  <c r="O338" i="18"/>
  <c r="P338" i="18"/>
  <c r="Q338" i="18" s="1"/>
  <c r="L338" i="18"/>
  <c r="M338" i="18"/>
  <c r="R338" i="18"/>
  <c r="O337" i="18"/>
  <c r="P337" i="18" s="1"/>
  <c r="Q337" i="18" s="1"/>
  <c r="L337" i="18"/>
  <c r="M337" i="18" s="1"/>
  <c r="R337" i="18" s="1"/>
  <c r="Q336" i="18"/>
  <c r="O336" i="18"/>
  <c r="P336" i="18" s="1"/>
  <c r="L336" i="18"/>
  <c r="M336" i="18"/>
  <c r="R336" i="18"/>
  <c r="O335" i="18"/>
  <c r="P335" i="18" s="1"/>
  <c r="Q335" i="18" s="1"/>
  <c r="L335" i="18"/>
  <c r="M335" i="18" s="1"/>
  <c r="R335" i="18" s="1"/>
  <c r="O334" i="18"/>
  <c r="P334" i="18"/>
  <c r="Q334" i="18" s="1"/>
  <c r="L334" i="18"/>
  <c r="M334" i="18" s="1"/>
  <c r="R334" i="18" s="1"/>
  <c r="S334" i="18" s="1"/>
  <c r="O333" i="18"/>
  <c r="P333" i="18"/>
  <c r="Q333" i="18"/>
  <c r="L333" i="18"/>
  <c r="M333" i="18" s="1"/>
  <c r="R333" i="18" s="1"/>
  <c r="O330" i="18"/>
  <c r="P330" i="18" s="1"/>
  <c r="Q330" i="18" s="1"/>
  <c r="L330" i="18"/>
  <c r="M330" i="18"/>
  <c r="R330" i="18" s="1"/>
  <c r="O329" i="18"/>
  <c r="P329" i="18"/>
  <c r="Q329" i="18" s="1"/>
  <c r="L329" i="18"/>
  <c r="M329" i="18" s="1"/>
  <c r="R329" i="18" s="1"/>
  <c r="O328" i="18"/>
  <c r="P328" i="18" s="1"/>
  <c r="Q328" i="18" s="1"/>
  <c r="L328" i="18"/>
  <c r="M328" i="18"/>
  <c r="R328" i="18" s="1"/>
  <c r="S328" i="18" s="1"/>
  <c r="O325" i="18"/>
  <c r="P325" i="18" s="1"/>
  <c r="Q325" i="18" s="1"/>
  <c r="L325" i="18"/>
  <c r="M325" i="18"/>
  <c r="R325" i="18"/>
  <c r="N324" i="18"/>
  <c r="O324" i="18" s="1"/>
  <c r="P324" i="18" s="1"/>
  <c r="Q324" i="18"/>
  <c r="L324" i="18"/>
  <c r="M324" i="18" s="1"/>
  <c r="R324" i="18" s="1"/>
  <c r="U324" i="18" s="1"/>
  <c r="O323" i="18"/>
  <c r="P323" i="18" s="1"/>
  <c r="Q323" i="18" s="1"/>
  <c r="L323" i="18"/>
  <c r="M323" i="18" s="1"/>
  <c r="R323" i="18" s="1"/>
  <c r="S323" i="18" s="1"/>
  <c r="P320" i="18"/>
  <c r="Q320" i="18" s="1"/>
  <c r="O320" i="18"/>
  <c r="L320" i="18"/>
  <c r="M320" i="18"/>
  <c r="R320" i="18" s="1"/>
  <c r="O319" i="18"/>
  <c r="P319" i="18"/>
  <c r="Q319" i="18"/>
  <c r="L319" i="18"/>
  <c r="M319" i="18" s="1"/>
  <c r="R319" i="18" s="1"/>
  <c r="O318" i="18"/>
  <c r="P318" i="18" s="1"/>
  <c r="Q318" i="18" s="1"/>
  <c r="L318" i="18"/>
  <c r="M318" i="18"/>
  <c r="R318" i="18" s="1"/>
  <c r="O317" i="18"/>
  <c r="P317" i="18"/>
  <c r="Q317" i="18"/>
  <c r="M317" i="18"/>
  <c r="R317" i="18" s="1"/>
  <c r="L317" i="18"/>
  <c r="N316" i="18"/>
  <c r="O316" i="18" s="1"/>
  <c r="P316" i="18" s="1"/>
  <c r="Q316" i="18" s="1"/>
  <c r="L316" i="18"/>
  <c r="M316" i="18" s="1"/>
  <c r="R316" i="18" s="1"/>
  <c r="O313" i="18"/>
  <c r="P313" i="18"/>
  <c r="Q313" i="18" s="1"/>
  <c r="L313" i="18"/>
  <c r="M313" i="18"/>
  <c r="R313" i="18"/>
  <c r="N305" i="18"/>
  <c r="O303" i="18"/>
  <c r="P303" i="18"/>
  <c r="Q303" i="18" s="1"/>
  <c r="L303" i="18"/>
  <c r="M303" i="18"/>
  <c r="O302" i="18"/>
  <c r="L302" i="18"/>
  <c r="M302" i="18"/>
  <c r="U299" i="18"/>
  <c r="T299" i="18"/>
  <c r="S299" i="18"/>
  <c r="R299" i="18"/>
  <c r="Q299" i="18"/>
  <c r="P299" i="18"/>
  <c r="O299" i="18"/>
  <c r="N299" i="18"/>
  <c r="O293" i="18"/>
  <c r="P293" i="18" s="1"/>
  <c r="Q293" i="18" s="1"/>
  <c r="L293" i="18"/>
  <c r="M293" i="18"/>
  <c r="O292" i="18"/>
  <c r="P292" i="18" s="1"/>
  <c r="Q292" i="18" s="1"/>
  <c r="L292" i="18"/>
  <c r="M292" i="18" s="1"/>
  <c r="R292" i="18" s="1"/>
  <c r="N291" i="18"/>
  <c r="L291" i="18"/>
  <c r="M291" i="18" s="1"/>
  <c r="R291" i="18" s="1"/>
  <c r="O290" i="18"/>
  <c r="N423" i="2" s="1"/>
  <c r="O423" i="2" s="1"/>
  <c r="P423" i="2" s="1"/>
  <c r="Q423" i="2" s="1"/>
  <c r="M290" i="18"/>
  <c r="R290" i="18" s="1"/>
  <c r="L290" i="18"/>
  <c r="N289" i="18"/>
  <c r="O289" i="18" s="1"/>
  <c r="L289" i="18"/>
  <c r="M289" i="18" s="1"/>
  <c r="R289" i="18" s="1"/>
  <c r="P288" i="18"/>
  <c r="Q288" i="18" s="1"/>
  <c r="O288" i="18"/>
  <c r="L288" i="18"/>
  <c r="M288" i="18" s="1"/>
  <c r="R288" i="18" s="1"/>
  <c r="O287" i="18"/>
  <c r="N322" i="2"/>
  <c r="L287" i="18"/>
  <c r="M287" i="18" s="1"/>
  <c r="R287" i="18" s="1"/>
  <c r="O286" i="18"/>
  <c r="N320" i="2" s="1"/>
  <c r="N321" i="2" s="1"/>
  <c r="O321" i="2" s="1"/>
  <c r="M286" i="18"/>
  <c r="R286" i="18" s="1"/>
  <c r="L286" i="18"/>
  <c r="O285" i="18"/>
  <c r="P285" i="18" s="1"/>
  <c r="Q285" i="18" s="1"/>
  <c r="L285" i="18"/>
  <c r="M285" i="18" s="1"/>
  <c r="R285" i="18" s="1"/>
  <c r="U285" i="18" s="1"/>
  <c r="O284" i="18"/>
  <c r="P284" i="18" s="1"/>
  <c r="Q284" i="18" s="1"/>
  <c r="L284" i="18"/>
  <c r="M284" i="18"/>
  <c r="R284" i="18"/>
  <c r="U284" i="18" s="1"/>
  <c r="O283" i="18"/>
  <c r="P283" i="18"/>
  <c r="Q283" i="18"/>
  <c r="L283" i="18"/>
  <c r="M283" i="18" s="1"/>
  <c r="R283" i="18" s="1"/>
  <c r="O282" i="18"/>
  <c r="N430" i="2" s="1"/>
  <c r="O430" i="2" s="1"/>
  <c r="P430" i="2" s="1"/>
  <c r="Q430" i="2" s="1"/>
  <c r="M282" i="18"/>
  <c r="R282" i="18" s="1"/>
  <c r="L282" i="18"/>
  <c r="O281" i="18"/>
  <c r="L281" i="18"/>
  <c r="M281" i="18"/>
  <c r="R281" i="18" s="1"/>
  <c r="O280" i="18"/>
  <c r="N313" i="2"/>
  <c r="P280" i="18"/>
  <c r="Q280" i="18" s="1"/>
  <c r="L280" i="18"/>
  <c r="M280" i="18"/>
  <c r="R280" i="18"/>
  <c r="P279" i="18"/>
  <c r="Q279" i="18" s="1"/>
  <c r="O279" i="18"/>
  <c r="N311" i="2"/>
  <c r="L279" i="18"/>
  <c r="M279" i="18" s="1"/>
  <c r="R279" i="18" s="1"/>
  <c r="U279" i="18"/>
  <c r="O278" i="18"/>
  <c r="N309" i="2" s="1"/>
  <c r="N310" i="2" s="1"/>
  <c r="O310" i="2" s="1"/>
  <c r="L278" i="18"/>
  <c r="M278" i="18" s="1"/>
  <c r="R278" i="18" s="1"/>
  <c r="U278" i="18"/>
  <c r="O277" i="18"/>
  <c r="P277" i="18" s="1"/>
  <c r="Q277" i="18"/>
  <c r="L277" i="18"/>
  <c r="M277" i="18" s="1"/>
  <c r="R277" i="18" s="1"/>
  <c r="U277" i="18"/>
  <c r="O276" i="18"/>
  <c r="N305" i="2" s="1"/>
  <c r="N306" i="2" s="1"/>
  <c r="O306" i="2" s="1"/>
  <c r="L276" i="18"/>
  <c r="M276" i="18" s="1"/>
  <c r="R276" i="18" s="1"/>
  <c r="O275" i="18"/>
  <c r="N303" i="2" s="1"/>
  <c r="N304" i="2" s="1"/>
  <c r="O304" i="2" s="1"/>
  <c r="P275" i="18"/>
  <c r="Q275" i="18" s="1"/>
  <c r="L275" i="18"/>
  <c r="M275" i="18"/>
  <c r="R275" i="18"/>
  <c r="S275" i="18" s="1"/>
  <c r="O274" i="18"/>
  <c r="L274" i="18"/>
  <c r="M274" i="18" s="1"/>
  <c r="R274" i="18"/>
  <c r="O273" i="18"/>
  <c r="N428" i="2"/>
  <c r="N429" i="2" s="1"/>
  <c r="O429" i="2" s="1"/>
  <c r="L273" i="18"/>
  <c r="M273" i="18"/>
  <c r="R273" i="18" s="1"/>
  <c r="U273" i="18"/>
  <c r="O272" i="18"/>
  <c r="N426" i="2"/>
  <c r="N427" i="2" s="1"/>
  <c r="O427" i="2" s="1"/>
  <c r="L272" i="18"/>
  <c r="M272" i="18" s="1"/>
  <c r="R272" i="18" s="1"/>
  <c r="O271" i="18"/>
  <c r="N299" i="2"/>
  <c r="N300" i="2" s="1"/>
  <c r="O300" i="2" s="1"/>
  <c r="L271" i="18"/>
  <c r="M271" i="18"/>
  <c r="R271" i="18"/>
  <c r="S271" i="18" s="1"/>
  <c r="O270" i="18"/>
  <c r="N419" i="2" s="1"/>
  <c r="N420" i="2" s="1"/>
  <c r="O420" i="2" s="1"/>
  <c r="L270" i="18"/>
  <c r="M270" i="18"/>
  <c r="R270" i="18" s="1"/>
  <c r="O269" i="18"/>
  <c r="N421" i="2"/>
  <c r="O421" i="2" s="1"/>
  <c r="P421" i="2" s="1"/>
  <c r="Q421" i="2" s="1"/>
  <c r="L269" i="18"/>
  <c r="M269" i="18"/>
  <c r="R269" i="18"/>
  <c r="O268" i="18"/>
  <c r="N297" i="2"/>
  <c r="N298" i="2" s="1"/>
  <c r="O298" i="2" s="1"/>
  <c r="L268" i="18"/>
  <c r="M268" i="18"/>
  <c r="R268" i="18"/>
  <c r="O267" i="18"/>
  <c r="N295" i="2" s="1"/>
  <c r="N296" i="2" s="1"/>
  <c r="O296" i="2" s="1"/>
  <c r="L267" i="18"/>
  <c r="M267" i="18" s="1"/>
  <c r="R267" i="18"/>
  <c r="O266" i="18"/>
  <c r="N293" i="2"/>
  <c r="N294" i="2" s="1"/>
  <c r="O294" i="2" s="1"/>
  <c r="L266" i="18"/>
  <c r="M266" i="18" s="1"/>
  <c r="R266" i="18" s="1"/>
  <c r="O265" i="18"/>
  <c r="N291" i="2"/>
  <c r="L265" i="18"/>
  <c r="M265" i="18" s="1"/>
  <c r="R265" i="18" s="1"/>
  <c r="O260" i="18"/>
  <c r="P260" i="18"/>
  <c r="Q260" i="18" s="1"/>
  <c r="M260" i="18"/>
  <c r="L260" i="18"/>
  <c r="O259" i="18"/>
  <c r="P259" i="18" s="1"/>
  <c r="Q259" i="18"/>
  <c r="L259" i="18"/>
  <c r="M259" i="18" s="1"/>
  <c r="R259" i="18" s="1"/>
  <c r="S259" i="18" s="1"/>
  <c r="P258" i="18"/>
  <c r="Q258" i="18"/>
  <c r="O258" i="18"/>
  <c r="L258" i="18"/>
  <c r="M258" i="18"/>
  <c r="R258" i="18"/>
  <c r="O257" i="18"/>
  <c r="P257" i="18"/>
  <c r="Q257" i="18"/>
  <c r="L257" i="18"/>
  <c r="M257" i="18" s="1"/>
  <c r="R257" i="18" s="1"/>
  <c r="O256" i="18"/>
  <c r="P256" i="18"/>
  <c r="Q256" i="18" s="1"/>
  <c r="L256" i="18"/>
  <c r="M256" i="18" s="1"/>
  <c r="R256" i="18" s="1"/>
  <c r="N255" i="18"/>
  <c r="N262" i="18"/>
  <c r="L255" i="18"/>
  <c r="M255" i="18"/>
  <c r="R255" i="18"/>
  <c r="O250" i="18"/>
  <c r="P250" i="18" s="1"/>
  <c r="Q250" i="18" s="1"/>
  <c r="L250" i="18"/>
  <c r="M250" i="18"/>
  <c r="R250" i="18" s="1"/>
  <c r="U250" i="18" s="1"/>
  <c r="O249" i="18"/>
  <c r="P249" i="18"/>
  <c r="Q249" i="18" s="1"/>
  <c r="L249" i="18"/>
  <c r="M249" i="18"/>
  <c r="R249" i="18"/>
  <c r="O248" i="18"/>
  <c r="P248" i="18"/>
  <c r="Q248" i="18"/>
  <c r="L248" i="18"/>
  <c r="M248" i="18" s="1"/>
  <c r="R248" i="18" s="1"/>
  <c r="S248" i="18" s="1"/>
  <c r="O247" i="18"/>
  <c r="P247" i="18" s="1"/>
  <c r="Q247" i="18" s="1"/>
  <c r="L247" i="18"/>
  <c r="M247" i="18"/>
  <c r="R247" i="18" s="1"/>
  <c r="N246" i="18"/>
  <c r="O246" i="18"/>
  <c r="P246" i="18"/>
  <c r="Q246" i="18" s="1"/>
  <c r="L246" i="18"/>
  <c r="M246" i="18"/>
  <c r="R246" i="18"/>
  <c r="U246" i="18" s="1"/>
  <c r="O245" i="18"/>
  <c r="P245" i="18"/>
  <c r="Q245" i="18"/>
  <c r="L245" i="18"/>
  <c r="M245" i="18"/>
  <c r="O244" i="18"/>
  <c r="P244" i="18"/>
  <c r="Q244" i="18" s="1"/>
  <c r="L244" i="18"/>
  <c r="M244" i="18"/>
  <c r="R244" i="18"/>
  <c r="O243" i="18"/>
  <c r="P243" i="18"/>
  <c r="Q243" i="18" s="1"/>
  <c r="L243" i="18"/>
  <c r="M243" i="18" s="1"/>
  <c r="R243" i="18" s="1"/>
  <c r="U243" i="18" s="1"/>
  <c r="O242" i="18"/>
  <c r="P242" i="18" s="1"/>
  <c r="Q242" i="18" s="1"/>
  <c r="M242" i="18"/>
  <c r="R242" i="18"/>
  <c r="L242" i="18"/>
  <c r="N241" i="18"/>
  <c r="O241" i="18"/>
  <c r="L241" i="18"/>
  <c r="M241" i="18" s="1"/>
  <c r="R241" i="18" s="1"/>
  <c r="S241" i="18" s="1"/>
  <c r="O235" i="18"/>
  <c r="L235" i="18"/>
  <c r="M235" i="18"/>
  <c r="N234" i="18"/>
  <c r="O234" i="18" s="1"/>
  <c r="P234" i="18" s="1"/>
  <c r="Q234" i="18" s="1"/>
  <c r="L234" i="18"/>
  <c r="M234" i="18" s="1"/>
  <c r="R234" i="18" s="1"/>
  <c r="N233" i="18"/>
  <c r="O233" i="18"/>
  <c r="P233" i="18" s="1"/>
  <c r="Q233" i="18" s="1"/>
  <c r="L233" i="18"/>
  <c r="M233" i="18"/>
  <c r="R233" i="18" s="1"/>
  <c r="O232" i="18"/>
  <c r="N254" i="2"/>
  <c r="P232" i="18"/>
  <c r="Q232" i="18"/>
  <c r="M232" i="18"/>
  <c r="R232" i="18" s="1"/>
  <c r="L232" i="18"/>
  <c r="O231" i="18"/>
  <c r="N238" i="2"/>
  <c r="N239" i="2" s="1"/>
  <c r="O239" i="2" s="1"/>
  <c r="P231" i="18"/>
  <c r="Q231" i="18"/>
  <c r="L231" i="18"/>
  <c r="M231" i="18"/>
  <c r="R231" i="18"/>
  <c r="S231" i="18"/>
  <c r="O230" i="18"/>
  <c r="P230" i="18" s="1"/>
  <c r="Q230" i="18" s="1"/>
  <c r="N256" i="2"/>
  <c r="N257" i="2" s="1"/>
  <c r="O257" i="2" s="1"/>
  <c r="L230" i="18"/>
  <c r="M230" i="18"/>
  <c r="R230" i="18" s="1"/>
  <c r="O229" i="18"/>
  <c r="P229" i="18" s="1"/>
  <c r="Q229" i="18" s="1"/>
  <c r="N267" i="2"/>
  <c r="N268" i="2" s="1"/>
  <c r="L229" i="18"/>
  <c r="M229" i="18"/>
  <c r="R229" i="18" s="1"/>
  <c r="U229" i="18" s="1"/>
  <c r="N228" i="18"/>
  <c r="L228" i="18"/>
  <c r="M228" i="18" s="1"/>
  <c r="R228" i="18" s="1"/>
  <c r="P223" i="18"/>
  <c r="Q223" i="18"/>
  <c r="O223" i="18"/>
  <c r="L223" i="18"/>
  <c r="M223" i="18"/>
  <c r="R223" i="18"/>
  <c r="O222" i="18"/>
  <c r="P222" i="18"/>
  <c r="Q222" i="18"/>
  <c r="L222" i="18"/>
  <c r="M222" i="18" s="1"/>
  <c r="R222" i="18" s="1"/>
  <c r="U222" i="18" s="1"/>
  <c r="N221" i="18"/>
  <c r="L221" i="18"/>
  <c r="M221" i="18"/>
  <c r="R221" i="18"/>
  <c r="O220" i="18"/>
  <c r="N399" i="2" s="1"/>
  <c r="N400" i="2" s="1"/>
  <c r="O400" i="2" s="1"/>
  <c r="L220" i="18"/>
  <c r="M220" i="18" s="1"/>
  <c r="R220" i="18" s="1"/>
  <c r="O215" i="18"/>
  <c r="P215" i="18"/>
  <c r="Q215" i="18" s="1"/>
  <c r="L215" i="18"/>
  <c r="M215" i="18"/>
  <c r="R215" i="18"/>
  <c r="N214" i="18"/>
  <c r="O214" i="18"/>
  <c r="P214" i="18"/>
  <c r="Q214" i="18"/>
  <c r="L214" i="18"/>
  <c r="M214" i="18"/>
  <c r="R214" i="18"/>
  <c r="N213" i="18"/>
  <c r="O213" i="18" s="1"/>
  <c r="P213" i="18" s="1"/>
  <c r="Q213" i="18" s="1"/>
  <c r="L213" i="18"/>
  <c r="M213" i="18" s="1"/>
  <c r="R213" i="18" s="1"/>
  <c r="N212" i="18"/>
  <c r="O212" i="18"/>
  <c r="P212" i="18" s="1"/>
  <c r="Q212" i="18" s="1"/>
  <c r="L212" i="18"/>
  <c r="M212" i="18"/>
  <c r="R212" i="18" s="1"/>
  <c r="O211" i="18"/>
  <c r="P211" i="18"/>
  <c r="Q211" i="18"/>
  <c r="L211" i="18"/>
  <c r="M211" i="18"/>
  <c r="R211" i="18"/>
  <c r="N210" i="18"/>
  <c r="O210" i="18" s="1"/>
  <c r="P210" i="18" s="1"/>
  <c r="Q210" i="18" s="1"/>
  <c r="L210" i="18"/>
  <c r="M210" i="18" s="1"/>
  <c r="R210" i="18" s="1"/>
  <c r="U210" i="18" s="1"/>
  <c r="O209" i="18"/>
  <c r="N383" i="2" s="1"/>
  <c r="N384" i="2" s="1"/>
  <c r="O384" i="2" s="1"/>
  <c r="L209" i="18"/>
  <c r="M209" i="18" s="1"/>
  <c r="R209" i="18" s="1"/>
  <c r="S209" i="18" s="1"/>
  <c r="O208" i="18"/>
  <c r="N463" i="2" s="1"/>
  <c r="L208" i="18"/>
  <c r="M208" i="18"/>
  <c r="R208" i="18" s="1"/>
  <c r="O207" i="18"/>
  <c r="N386" i="2"/>
  <c r="L207" i="18"/>
  <c r="M207" i="18" s="1"/>
  <c r="R207" i="18" s="1"/>
  <c r="U207" i="18" s="1"/>
  <c r="O206" i="18"/>
  <c r="N388" i="2" s="1"/>
  <c r="N389" i="2" s="1"/>
  <c r="O389" i="2" s="1"/>
  <c r="L206" i="18"/>
  <c r="M206" i="18" s="1"/>
  <c r="R206" i="18" s="1"/>
  <c r="N205" i="18"/>
  <c r="O205" i="18" s="1"/>
  <c r="N219" i="2" s="1"/>
  <c r="L205" i="18"/>
  <c r="M205" i="18"/>
  <c r="R205" i="18"/>
  <c r="S205" i="18" s="1"/>
  <c r="O204" i="18"/>
  <c r="N393" i="2"/>
  <c r="N394" i="2" s="1"/>
  <c r="O394" i="2" s="1"/>
  <c r="L204" i="18"/>
  <c r="M204" i="18"/>
  <c r="R204" i="18"/>
  <c r="U204" i="18" s="1"/>
  <c r="N199" i="18"/>
  <c r="N201" i="18" s="1"/>
  <c r="O199" i="18"/>
  <c r="N469" i="2" s="1"/>
  <c r="O469" i="2" s="1"/>
  <c r="P469" i="2" s="1"/>
  <c r="Q469" i="2" s="1"/>
  <c r="L199" i="18"/>
  <c r="M199" i="18" s="1"/>
  <c r="R199" i="18" s="1"/>
  <c r="P194" i="18"/>
  <c r="Q194" i="18" s="1"/>
  <c r="O194" i="18"/>
  <c r="L194" i="18"/>
  <c r="M194" i="18"/>
  <c r="O193" i="18"/>
  <c r="P193" i="18" s="1"/>
  <c r="Q193" i="18" s="1"/>
  <c r="L193" i="18"/>
  <c r="M193" i="18" s="1"/>
  <c r="O192" i="18"/>
  <c r="P192" i="18"/>
  <c r="Q192" i="18"/>
  <c r="L192" i="18"/>
  <c r="M192" i="18" s="1"/>
  <c r="R192" i="18" s="1"/>
  <c r="O191" i="18"/>
  <c r="P191" i="18" s="1"/>
  <c r="Q191" i="18" s="1"/>
  <c r="L191" i="18"/>
  <c r="M191" i="18"/>
  <c r="R191" i="18" s="1"/>
  <c r="N190" i="18"/>
  <c r="O190" i="18"/>
  <c r="P190" i="18"/>
  <c r="Q190" i="18" s="1"/>
  <c r="L190" i="18"/>
  <c r="M190" i="18"/>
  <c r="R190" i="18"/>
  <c r="N189" i="18"/>
  <c r="O189" i="18" s="1"/>
  <c r="P189" i="18" s="1"/>
  <c r="Q189" i="18" s="1"/>
  <c r="L189" i="18"/>
  <c r="M189" i="18" s="1"/>
  <c r="R189" i="18" s="1"/>
  <c r="N188" i="18"/>
  <c r="O188" i="18" s="1"/>
  <c r="P188" i="18" s="1"/>
  <c r="Q188" i="18" s="1"/>
  <c r="L188" i="18"/>
  <c r="M188" i="18" s="1"/>
  <c r="R188" i="18" s="1"/>
  <c r="N187" i="18"/>
  <c r="O187" i="18"/>
  <c r="P187" i="18" s="1"/>
  <c r="Q187" i="18" s="1"/>
  <c r="L187" i="18"/>
  <c r="M187" i="18"/>
  <c r="R187" i="18" s="1"/>
  <c r="O186" i="18"/>
  <c r="N379" i="2"/>
  <c r="N380" i="2" s="1"/>
  <c r="O380" i="2" s="1"/>
  <c r="L186" i="18"/>
  <c r="M186" i="18"/>
  <c r="R186" i="18"/>
  <c r="O185" i="18"/>
  <c r="N471" i="2" s="1"/>
  <c r="N472" i="2" s="1"/>
  <c r="O472" i="2" s="1"/>
  <c r="L185" i="18"/>
  <c r="M185" i="18" s="1"/>
  <c r="R185" i="18" s="1"/>
  <c r="U185" i="18" s="1"/>
  <c r="O184" i="18"/>
  <c r="N340" i="2" s="1"/>
  <c r="N341" i="2" s="1"/>
  <c r="O341" i="2" s="1"/>
  <c r="L184" i="18"/>
  <c r="M184" i="18" s="1"/>
  <c r="R184" i="18" s="1"/>
  <c r="O183" i="18"/>
  <c r="N377" i="2" s="1"/>
  <c r="N378" i="2" s="1"/>
  <c r="O378" i="2" s="1"/>
  <c r="L183" i="18"/>
  <c r="M183" i="18" s="1"/>
  <c r="R183" i="18" s="1"/>
  <c r="S183" i="18" s="1"/>
  <c r="P182" i="18"/>
  <c r="Q182" i="18" s="1"/>
  <c r="O182" i="18"/>
  <c r="N381" i="2"/>
  <c r="N382" i="2" s="1"/>
  <c r="L182" i="18"/>
  <c r="M182" i="18" s="1"/>
  <c r="R182" i="18" s="1"/>
  <c r="O181" i="18"/>
  <c r="P181" i="18" s="1"/>
  <c r="Q181" i="18" s="1"/>
  <c r="L181" i="18"/>
  <c r="M181" i="18" s="1"/>
  <c r="R181" i="18" s="1"/>
  <c r="U181" i="18" s="1"/>
  <c r="N180" i="18"/>
  <c r="L180" i="18"/>
  <c r="M180" i="18"/>
  <c r="R180" i="18"/>
  <c r="P179" i="18"/>
  <c r="Q179" i="18" s="1"/>
  <c r="O179" i="18"/>
  <c r="N391" i="2"/>
  <c r="L179" i="18"/>
  <c r="M179" i="18" s="1"/>
  <c r="R179" i="18" s="1"/>
  <c r="O174" i="18"/>
  <c r="P174" i="18" s="1"/>
  <c r="Q174" i="18" s="1"/>
  <c r="L174" i="18"/>
  <c r="M174" i="18"/>
  <c r="R174" i="18" s="1"/>
  <c r="O173" i="18"/>
  <c r="P173" i="18"/>
  <c r="Q173" i="18"/>
  <c r="L173" i="18"/>
  <c r="M173" i="18" s="1"/>
  <c r="O172" i="18"/>
  <c r="P172" i="18"/>
  <c r="Q172" i="18" s="1"/>
  <c r="L172" i="18"/>
  <c r="M172" i="18"/>
  <c r="P171" i="18"/>
  <c r="Q171" i="18" s="1"/>
  <c r="O171" i="18"/>
  <c r="L171" i="18"/>
  <c r="M171" i="18"/>
  <c r="O170" i="18"/>
  <c r="P170" i="18"/>
  <c r="Q170" i="18"/>
  <c r="L170" i="18"/>
  <c r="M170" i="18" s="1"/>
  <c r="O169" i="18"/>
  <c r="P169" i="18"/>
  <c r="Q169" i="18" s="1"/>
  <c r="R169" i="18" s="1"/>
  <c r="L169" i="18"/>
  <c r="M169" i="18"/>
  <c r="O168" i="18"/>
  <c r="P168" i="18" s="1"/>
  <c r="Q168" i="18" s="1"/>
  <c r="L168" i="18"/>
  <c r="M168" i="18" s="1"/>
  <c r="O167" i="18"/>
  <c r="P167" i="18" s="1"/>
  <c r="Q167" i="18" s="1"/>
  <c r="L167" i="18"/>
  <c r="M167" i="18" s="1"/>
  <c r="O166" i="18"/>
  <c r="P166" i="18"/>
  <c r="Q166" i="18" s="1"/>
  <c r="L166" i="18"/>
  <c r="M166" i="18"/>
  <c r="O165" i="18"/>
  <c r="P165" i="18" s="1"/>
  <c r="Q165" i="18" s="1"/>
  <c r="L165" i="18"/>
  <c r="M165" i="18"/>
  <c r="O164" i="18"/>
  <c r="P164" i="18"/>
  <c r="Q164" i="18"/>
  <c r="L164" i="18"/>
  <c r="M164" i="18" s="1"/>
  <c r="O163" i="18"/>
  <c r="P163" i="18" s="1"/>
  <c r="Q163" i="18" s="1"/>
  <c r="L163" i="18"/>
  <c r="M163" i="18"/>
  <c r="R163" i="18"/>
  <c r="O162" i="18"/>
  <c r="P162" i="18" s="1"/>
  <c r="Q162" i="18" s="1"/>
  <c r="L162" i="18"/>
  <c r="M162" i="18" s="1"/>
  <c r="R162" i="18" s="1"/>
  <c r="U162" i="18" s="1"/>
  <c r="O161" i="18"/>
  <c r="P161" i="18" s="1"/>
  <c r="Q161" i="18" s="1"/>
  <c r="L161" i="18"/>
  <c r="M161" i="18"/>
  <c r="R161" i="18" s="1"/>
  <c r="O160" i="18"/>
  <c r="P160" i="18"/>
  <c r="Q160" i="18"/>
  <c r="L160" i="18"/>
  <c r="M160" i="18" s="1"/>
  <c r="R160" i="18" s="1"/>
  <c r="S160" i="18" s="1"/>
  <c r="O159" i="18"/>
  <c r="P159" i="18" s="1"/>
  <c r="Q159" i="18" s="1"/>
  <c r="L159" i="18"/>
  <c r="M159" i="18" s="1"/>
  <c r="R159" i="18" s="1"/>
  <c r="O158" i="18"/>
  <c r="P158" i="18"/>
  <c r="Q158" i="18" s="1"/>
  <c r="L158" i="18"/>
  <c r="M158" i="18"/>
  <c r="R158" i="18"/>
  <c r="U158" i="18" s="1"/>
  <c r="O157" i="18"/>
  <c r="P157" i="18"/>
  <c r="Q157" i="18"/>
  <c r="L157" i="18"/>
  <c r="M157" i="18" s="1"/>
  <c r="R157" i="18" s="1"/>
  <c r="O156" i="18"/>
  <c r="P156" i="18" s="1"/>
  <c r="Q156" i="18" s="1"/>
  <c r="L156" i="18"/>
  <c r="M156" i="18"/>
  <c r="R156" i="18" s="1"/>
  <c r="O155" i="18"/>
  <c r="P155" i="18" s="1"/>
  <c r="Q155" i="18" s="1"/>
  <c r="L155" i="18"/>
  <c r="M155" i="18" s="1"/>
  <c r="R155" i="18" s="1"/>
  <c r="N154" i="18"/>
  <c r="O154" i="18" s="1"/>
  <c r="P154" i="18" s="1"/>
  <c r="Q154" i="18" s="1"/>
  <c r="L154" i="18"/>
  <c r="M154" i="18" s="1"/>
  <c r="R154" i="18" s="1"/>
  <c r="O153" i="18"/>
  <c r="P153" i="18"/>
  <c r="Q153" i="18" s="1"/>
  <c r="N153" i="18"/>
  <c r="L153" i="18"/>
  <c r="M153" i="18"/>
  <c r="N152" i="18"/>
  <c r="O152" i="18" s="1"/>
  <c r="P152" i="18" s="1"/>
  <c r="Q152" i="18" s="1"/>
  <c r="L152" i="18"/>
  <c r="M152" i="18" s="1"/>
  <c r="O151" i="18"/>
  <c r="P151" i="18"/>
  <c r="Q151" i="18" s="1"/>
  <c r="N151" i="18"/>
  <c r="L151" i="18"/>
  <c r="M151" i="18"/>
  <c r="N150" i="18"/>
  <c r="O150" i="18" s="1"/>
  <c r="P150" i="18" s="1"/>
  <c r="Q150" i="18" s="1"/>
  <c r="L150" i="18"/>
  <c r="M150" i="18" s="1"/>
  <c r="N149" i="18"/>
  <c r="O149" i="18"/>
  <c r="P149" i="18" s="1"/>
  <c r="Q149" i="18" s="1"/>
  <c r="L149" i="18"/>
  <c r="M149" i="18" s="1"/>
  <c r="R149" i="18" s="1"/>
  <c r="S149" i="18" s="1"/>
  <c r="N148" i="18"/>
  <c r="O148" i="18"/>
  <c r="P148" i="18" s="1"/>
  <c r="Q148" i="18" s="1"/>
  <c r="L148" i="18"/>
  <c r="M148" i="18" s="1"/>
  <c r="N147" i="18"/>
  <c r="O147" i="18" s="1"/>
  <c r="P147" i="18" s="1"/>
  <c r="Q147" i="18" s="1"/>
  <c r="L147" i="18"/>
  <c r="M147" i="18" s="1"/>
  <c r="N146" i="18"/>
  <c r="O146" i="18" s="1"/>
  <c r="P146" i="18" s="1"/>
  <c r="Q146" i="18" s="1"/>
  <c r="L146" i="18"/>
  <c r="M146" i="18" s="1"/>
  <c r="Q145" i="18"/>
  <c r="N145" i="18"/>
  <c r="O145" i="18" s="1"/>
  <c r="P145" i="18" s="1"/>
  <c r="L145" i="18"/>
  <c r="M145" i="18"/>
  <c r="R145" i="18"/>
  <c r="S145" i="18" s="1"/>
  <c r="N144" i="18"/>
  <c r="O144" i="18"/>
  <c r="P144" i="18"/>
  <c r="Q144" i="18" s="1"/>
  <c r="U144" i="18"/>
  <c r="L144" i="18"/>
  <c r="M144" i="18" s="1"/>
  <c r="R144" i="18" s="1"/>
  <c r="Q143" i="18"/>
  <c r="N143" i="18"/>
  <c r="O143" i="18" s="1"/>
  <c r="P143" i="18" s="1"/>
  <c r="L143" i="18"/>
  <c r="M143" i="18"/>
  <c r="R143" i="18"/>
  <c r="S143" i="18" s="1"/>
  <c r="O142" i="18"/>
  <c r="N489" i="2"/>
  <c r="P142" i="18"/>
  <c r="Q142" i="18" s="1"/>
  <c r="L142" i="18"/>
  <c r="M142" i="18"/>
  <c r="R142" i="18"/>
  <c r="U142" i="18" s="1"/>
  <c r="O141" i="18"/>
  <c r="N487" i="2"/>
  <c r="N488" i="2" s="1"/>
  <c r="O488" i="2" s="1"/>
  <c r="P141" i="18"/>
  <c r="Q141" i="18"/>
  <c r="L141" i="18"/>
  <c r="M141" i="18" s="1"/>
  <c r="R141" i="18" s="1"/>
  <c r="O140" i="18"/>
  <c r="P140" i="18"/>
  <c r="Q140" i="18" s="1"/>
  <c r="L140" i="18"/>
  <c r="M140" i="18"/>
  <c r="R140" i="18"/>
  <c r="S140" i="18" s="1"/>
  <c r="O139" i="18"/>
  <c r="L139" i="18"/>
  <c r="M139" i="18" s="1"/>
  <c r="R139" i="18" s="1"/>
  <c r="O138" i="18"/>
  <c r="N485" i="2"/>
  <c r="P138" i="18"/>
  <c r="Q138" i="18" s="1"/>
  <c r="L138" i="18"/>
  <c r="M138" i="18"/>
  <c r="R138" i="18" s="1"/>
  <c r="U138" i="18" s="1"/>
  <c r="O137" i="18"/>
  <c r="N114" i="2"/>
  <c r="M137" i="18"/>
  <c r="R137" i="18" s="1"/>
  <c r="L137" i="18"/>
  <c r="O136" i="18"/>
  <c r="N479" i="2" s="1"/>
  <c r="N480" i="2" s="1"/>
  <c r="O480" i="2" s="1"/>
  <c r="P136" i="18"/>
  <c r="Q136" i="18" s="1"/>
  <c r="L136" i="18"/>
  <c r="M136" i="18"/>
  <c r="R136" i="18"/>
  <c r="N135" i="18"/>
  <c r="O135" i="18" s="1"/>
  <c r="P135" i="18" s="1"/>
  <c r="Q135" i="18" s="1"/>
  <c r="L135" i="18"/>
  <c r="M135" i="18" s="1"/>
  <c r="R135" i="18" s="1"/>
  <c r="O134" i="18"/>
  <c r="N475" i="2" s="1"/>
  <c r="N476" i="2" s="1"/>
  <c r="O476" i="2" s="1"/>
  <c r="L134" i="18"/>
  <c r="M134" i="18" s="1"/>
  <c r="R134" i="18" s="1"/>
  <c r="N133" i="18"/>
  <c r="O133" i="18"/>
  <c r="L133" i="18"/>
  <c r="M133" i="18" s="1"/>
  <c r="R133" i="18" s="1"/>
  <c r="O132" i="18"/>
  <c r="N372" i="2" s="1"/>
  <c r="N373" i="2" s="1"/>
  <c r="O373" i="2" s="1"/>
  <c r="L132" i="18"/>
  <c r="M132" i="18" s="1"/>
  <c r="R132" i="18" s="1"/>
  <c r="N131" i="18"/>
  <c r="L131" i="18"/>
  <c r="M131" i="18" s="1"/>
  <c r="R131" i="18" s="1"/>
  <c r="O125" i="18"/>
  <c r="P125" i="18"/>
  <c r="Q125" i="18" s="1"/>
  <c r="L125" i="18"/>
  <c r="M125" i="18"/>
  <c r="N124" i="18"/>
  <c r="L124" i="18"/>
  <c r="M124" i="18" s="1"/>
  <c r="N123" i="18"/>
  <c r="L123" i="18"/>
  <c r="M123" i="18"/>
  <c r="O118" i="18"/>
  <c r="P118" i="18" s="1"/>
  <c r="Q118" i="18" s="1"/>
  <c r="L118" i="18"/>
  <c r="M118" i="18"/>
  <c r="O117" i="18"/>
  <c r="P117" i="18" s="1"/>
  <c r="Q117" i="18" s="1"/>
  <c r="M117" i="18"/>
  <c r="L117" i="18"/>
  <c r="O116" i="18"/>
  <c r="P116" i="18"/>
  <c r="Q116" i="18"/>
  <c r="L116" i="18"/>
  <c r="M116" i="18"/>
  <c r="O115" i="18"/>
  <c r="P115" i="18" s="1"/>
  <c r="Q115" i="18" s="1"/>
  <c r="L115" i="18"/>
  <c r="M115" i="18" s="1"/>
  <c r="O114" i="18"/>
  <c r="P114" i="18"/>
  <c r="Q114" i="18"/>
  <c r="L114" i="18"/>
  <c r="M114" i="18" s="1"/>
  <c r="O113" i="18"/>
  <c r="P113" i="18"/>
  <c r="Q113" i="18" s="1"/>
  <c r="L113" i="18"/>
  <c r="M113" i="18" s="1"/>
  <c r="O112" i="18"/>
  <c r="P112" i="18" s="1"/>
  <c r="Q112" i="18" s="1"/>
  <c r="L112" i="18"/>
  <c r="M112" i="18" s="1"/>
  <c r="R112" i="18" s="1"/>
  <c r="S112" i="18" s="1"/>
  <c r="O111" i="18"/>
  <c r="P111" i="18"/>
  <c r="Q111" i="18" s="1"/>
  <c r="L111" i="18"/>
  <c r="M111" i="18"/>
  <c r="O110" i="18"/>
  <c r="P110" i="18" s="1"/>
  <c r="Q110" i="18" s="1"/>
  <c r="L110" i="18"/>
  <c r="M110" i="18"/>
  <c r="O109" i="18"/>
  <c r="P109" i="18"/>
  <c r="Q109" i="18"/>
  <c r="M109" i="18"/>
  <c r="R109" i="18" s="1"/>
  <c r="L109" i="18"/>
  <c r="O108" i="18"/>
  <c r="P108" i="18"/>
  <c r="Q108" i="18" s="1"/>
  <c r="L108" i="18"/>
  <c r="M108" i="18"/>
  <c r="O107" i="18"/>
  <c r="P107" i="18" s="1"/>
  <c r="Q107" i="18" s="1"/>
  <c r="L107" i="18"/>
  <c r="M107" i="18"/>
  <c r="O106" i="18"/>
  <c r="P106" i="18"/>
  <c r="Q106" i="18"/>
  <c r="L106" i="18"/>
  <c r="M106" i="18" s="1"/>
  <c r="O105" i="18"/>
  <c r="P105" i="18" s="1"/>
  <c r="Q105" i="18" s="1"/>
  <c r="L105" i="18"/>
  <c r="M105" i="18"/>
  <c r="O104" i="18"/>
  <c r="P104" i="18"/>
  <c r="Q104" i="18" s="1"/>
  <c r="L104" i="18"/>
  <c r="M104" i="18" s="1"/>
  <c r="O103" i="18"/>
  <c r="P103" i="18" s="1"/>
  <c r="Q103" i="18"/>
  <c r="L103" i="18"/>
  <c r="M103" i="18" s="1"/>
  <c r="O102" i="18"/>
  <c r="P102" i="18"/>
  <c r="Q102" i="18"/>
  <c r="L102" i="18"/>
  <c r="M102" i="18" s="1"/>
  <c r="R102" i="18" s="1"/>
  <c r="O101" i="18"/>
  <c r="P101" i="18"/>
  <c r="Q101" i="18" s="1"/>
  <c r="L101" i="18"/>
  <c r="M101" i="18" s="1"/>
  <c r="R101" i="18" s="1"/>
  <c r="P100" i="18"/>
  <c r="Q100" i="18" s="1"/>
  <c r="N100" i="18"/>
  <c r="O100" i="18" s="1"/>
  <c r="L100" i="18"/>
  <c r="M100" i="18"/>
  <c r="O99" i="18"/>
  <c r="P99" i="18"/>
  <c r="Q99" i="18" s="1"/>
  <c r="R99" i="18" s="1"/>
  <c r="L99" i="18"/>
  <c r="M99" i="18" s="1"/>
  <c r="O98" i="18"/>
  <c r="P98" i="18" s="1"/>
  <c r="Q98" i="18" s="1"/>
  <c r="L98" i="18"/>
  <c r="M98" i="18" s="1"/>
  <c r="O97" i="18"/>
  <c r="P97" i="18" s="1"/>
  <c r="Q97" i="18" s="1"/>
  <c r="N97" i="18"/>
  <c r="L97" i="18"/>
  <c r="M97" i="18" s="1"/>
  <c r="O96" i="18"/>
  <c r="P96" i="18" s="1"/>
  <c r="Q96" i="18" s="1"/>
  <c r="L96" i="18"/>
  <c r="M96" i="18"/>
  <c r="O95" i="18"/>
  <c r="P95" i="18" s="1"/>
  <c r="Q95" i="18" s="1"/>
  <c r="L95" i="18"/>
  <c r="M95" i="18"/>
  <c r="R95" i="18" s="1"/>
  <c r="O94" i="18"/>
  <c r="P94" i="18"/>
  <c r="Q94" i="18"/>
  <c r="L94" i="18"/>
  <c r="M94" i="18" s="1"/>
  <c r="O93" i="18"/>
  <c r="P93" i="18" s="1"/>
  <c r="Q93" i="18" s="1"/>
  <c r="L93" i="18"/>
  <c r="M93" i="18" s="1"/>
  <c r="O92" i="18"/>
  <c r="P92" i="18"/>
  <c r="Q92" i="18" s="1"/>
  <c r="L92" i="18"/>
  <c r="M92" i="18" s="1"/>
  <c r="R92" i="18" s="1"/>
  <c r="O91" i="18"/>
  <c r="P91" i="18" s="1"/>
  <c r="Q91" i="18" s="1"/>
  <c r="L91" i="18"/>
  <c r="M91" i="18" s="1"/>
  <c r="O90" i="18"/>
  <c r="P90" i="18"/>
  <c r="Q90" i="18"/>
  <c r="L90" i="18"/>
  <c r="M90" i="18" s="1"/>
  <c r="R90" i="18" s="1"/>
  <c r="O89" i="18"/>
  <c r="P89" i="18" s="1"/>
  <c r="Q89" i="18"/>
  <c r="M89" i="18"/>
  <c r="R89" i="18" s="1"/>
  <c r="L89" i="18"/>
  <c r="O88" i="18"/>
  <c r="P88" i="18" s="1"/>
  <c r="Q88" i="18" s="1"/>
  <c r="L88" i="18"/>
  <c r="M88" i="18"/>
  <c r="P87" i="18"/>
  <c r="Q87" i="18" s="1"/>
  <c r="O87" i="18"/>
  <c r="L87" i="18"/>
  <c r="M87" i="18" s="1"/>
  <c r="O86" i="18"/>
  <c r="P86" i="18"/>
  <c r="Q86" i="18" s="1"/>
  <c r="L86" i="18"/>
  <c r="M86" i="18" s="1"/>
  <c r="O85" i="18"/>
  <c r="P85" i="18"/>
  <c r="Q85" i="18" s="1"/>
  <c r="L85" i="18"/>
  <c r="M85" i="18"/>
  <c r="O84" i="18"/>
  <c r="P84" i="18" s="1"/>
  <c r="Q84" i="18" s="1"/>
  <c r="R84" i="18" s="1"/>
  <c r="S84" i="18" s="1"/>
  <c r="L84" i="18"/>
  <c r="M84" i="18"/>
  <c r="O83" i="18"/>
  <c r="P83" i="18" s="1"/>
  <c r="Q83" i="18" s="1"/>
  <c r="L83" i="18"/>
  <c r="M83" i="18"/>
  <c r="O82" i="18"/>
  <c r="P82" i="18" s="1"/>
  <c r="Q82" i="18" s="1"/>
  <c r="L82" i="18"/>
  <c r="M82" i="18" s="1"/>
  <c r="O81" i="18"/>
  <c r="P81" i="18" s="1"/>
  <c r="Q81" i="18"/>
  <c r="L81" i="18"/>
  <c r="M81" i="18" s="1"/>
  <c r="R81" i="18" s="1"/>
  <c r="O80" i="18"/>
  <c r="P80" i="18"/>
  <c r="Q80" i="18"/>
  <c r="N80" i="18"/>
  <c r="L80" i="18"/>
  <c r="M80" i="18"/>
  <c r="N79" i="18"/>
  <c r="O79" i="18" s="1"/>
  <c r="P79" i="18" s="1"/>
  <c r="Q79" i="18" s="1"/>
  <c r="L79" i="18"/>
  <c r="M79" i="18"/>
  <c r="O78" i="18"/>
  <c r="P78" i="18"/>
  <c r="Q78" i="18"/>
  <c r="L78" i="18"/>
  <c r="M78" i="18" s="1"/>
  <c r="R78" i="18" s="1"/>
  <c r="S78" i="18" s="1"/>
  <c r="Q77" i="18"/>
  <c r="O77" i="18"/>
  <c r="P77" i="18"/>
  <c r="L77" i="18"/>
  <c r="M77" i="18"/>
  <c r="N76" i="18"/>
  <c r="O76" i="18"/>
  <c r="P76" i="18"/>
  <c r="Q76" i="18" s="1"/>
  <c r="L76" i="18"/>
  <c r="M76" i="18"/>
  <c r="O75" i="18"/>
  <c r="P75" i="18"/>
  <c r="Q75" i="18" s="1"/>
  <c r="L75" i="18"/>
  <c r="M75" i="18" s="1"/>
  <c r="O74" i="18"/>
  <c r="P74" i="18" s="1"/>
  <c r="Q74" i="18" s="1"/>
  <c r="L74" i="18"/>
  <c r="M74" i="18"/>
  <c r="N73" i="18"/>
  <c r="O73" i="18"/>
  <c r="P73" i="18" s="1"/>
  <c r="Q73" i="18" s="1"/>
  <c r="L73" i="18"/>
  <c r="M73" i="18"/>
  <c r="O72" i="18"/>
  <c r="P72" i="18"/>
  <c r="Q72" i="18"/>
  <c r="L72" i="18"/>
  <c r="M72" i="18" s="1"/>
  <c r="R72" i="18" s="1"/>
  <c r="S72" i="18" s="1"/>
  <c r="N71" i="18"/>
  <c r="O71" i="18" s="1"/>
  <c r="P71" i="18" s="1"/>
  <c r="Q71" i="18" s="1"/>
  <c r="L71" i="18"/>
  <c r="M71" i="18" s="1"/>
  <c r="N70" i="18"/>
  <c r="O70" i="18"/>
  <c r="P70" i="18"/>
  <c r="Q70" i="18" s="1"/>
  <c r="L70" i="18"/>
  <c r="M70" i="18"/>
  <c r="P69" i="18"/>
  <c r="Q69" i="18" s="1"/>
  <c r="O69" i="18"/>
  <c r="L69" i="18"/>
  <c r="M69" i="18"/>
  <c r="O68" i="18"/>
  <c r="P68" i="18"/>
  <c r="Q68" i="18"/>
  <c r="L68" i="18"/>
  <c r="M68" i="18" s="1"/>
  <c r="O67" i="18"/>
  <c r="P67" i="18"/>
  <c r="Q67" i="18"/>
  <c r="L67" i="18"/>
  <c r="M67" i="18" s="1"/>
  <c r="O66" i="18"/>
  <c r="P66" i="18"/>
  <c r="Q66" i="18" s="1"/>
  <c r="L66" i="18"/>
  <c r="M66" i="18"/>
  <c r="R66" i="18"/>
  <c r="O65" i="18"/>
  <c r="P65" i="18"/>
  <c r="Q65" i="18" s="1"/>
  <c r="L65" i="18"/>
  <c r="M65" i="18" s="1"/>
  <c r="R65" i="18" s="1"/>
  <c r="N64" i="18"/>
  <c r="O64" i="18"/>
  <c r="P64" i="18" s="1"/>
  <c r="Q64" i="18" s="1"/>
  <c r="M64" i="18"/>
  <c r="L64" i="18"/>
  <c r="O63" i="18"/>
  <c r="P63" i="18"/>
  <c r="Q63" i="18"/>
  <c r="L63" i="18"/>
  <c r="M63" i="18"/>
  <c r="R63" i="18" s="1"/>
  <c r="P62" i="18"/>
  <c r="Q62" i="18" s="1"/>
  <c r="O62" i="18"/>
  <c r="L62" i="18"/>
  <c r="M62" i="18"/>
  <c r="O61" i="18"/>
  <c r="P61" i="18"/>
  <c r="Q61" i="18"/>
  <c r="L61" i="18"/>
  <c r="M61" i="18" s="1"/>
  <c r="R61" i="18" s="1"/>
  <c r="U61" i="18" s="1"/>
  <c r="N60" i="18"/>
  <c r="O60" i="18" s="1"/>
  <c r="P60" i="18" s="1"/>
  <c r="Q60" i="18" s="1"/>
  <c r="L60" i="18"/>
  <c r="M60" i="18" s="1"/>
  <c r="O59" i="18"/>
  <c r="P59" i="18"/>
  <c r="Q59" i="18"/>
  <c r="L59" i="18"/>
  <c r="M59" i="18"/>
  <c r="R59" i="18"/>
  <c r="N58" i="18"/>
  <c r="O58" i="18" s="1"/>
  <c r="L58" i="18"/>
  <c r="M58" i="18" s="1"/>
  <c r="O57" i="18"/>
  <c r="P57" i="18"/>
  <c r="Q57" i="18" s="1"/>
  <c r="L57" i="18"/>
  <c r="M57" i="18"/>
  <c r="R57" i="18"/>
  <c r="S57" i="18" s="1"/>
  <c r="O56" i="18"/>
  <c r="P56" i="18" s="1"/>
  <c r="Q56" i="18" s="1"/>
  <c r="L56" i="18"/>
  <c r="M56" i="18" s="1"/>
  <c r="R56" i="18" s="1"/>
  <c r="N55" i="18"/>
  <c r="O55" i="18"/>
  <c r="P55" i="18" s="1"/>
  <c r="Q55" i="18" s="1"/>
  <c r="L55" i="18"/>
  <c r="M55" i="18" s="1"/>
  <c r="R55" i="18" s="1"/>
  <c r="U55" i="18" s="1"/>
  <c r="P54" i="18"/>
  <c r="Q54" i="18" s="1"/>
  <c r="N54" i="18"/>
  <c r="O54" i="18"/>
  <c r="L54" i="18"/>
  <c r="M54" i="18" s="1"/>
  <c r="R54" i="18" s="1"/>
  <c r="S54" i="18" s="1"/>
  <c r="O53" i="18"/>
  <c r="P53" i="18" s="1"/>
  <c r="Q53" i="18" s="1"/>
  <c r="L53" i="18"/>
  <c r="M53" i="18"/>
  <c r="R53" i="18" s="1"/>
  <c r="U53" i="18" s="1"/>
  <c r="N52" i="18"/>
  <c r="O52" i="18"/>
  <c r="P52" i="18" s="1"/>
  <c r="Q52" i="18" s="1"/>
  <c r="L52" i="18"/>
  <c r="M52" i="18"/>
  <c r="R52" i="18" s="1"/>
  <c r="N51" i="18"/>
  <c r="O51" i="18"/>
  <c r="P51" i="18"/>
  <c r="Q51" i="18" s="1"/>
  <c r="L51" i="18"/>
  <c r="M51" i="18"/>
  <c r="R51" i="18"/>
  <c r="O50" i="18"/>
  <c r="P50" i="18"/>
  <c r="Q50" i="18"/>
  <c r="M50" i="18"/>
  <c r="R50" i="18" s="1"/>
  <c r="L50" i="18"/>
  <c r="O49" i="18"/>
  <c r="N174" i="2"/>
  <c r="N175" i="2" s="1"/>
  <c r="O175" i="2" s="1"/>
  <c r="P49" i="18"/>
  <c r="Q49" i="18"/>
  <c r="L49" i="18"/>
  <c r="M49" i="18"/>
  <c r="R49" i="18"/>
  <c r="S49" i="18"/>
  <c r="O48" i="18"/>
  <c r="P48" i="18" s="1"/>
  <c r="Q48" i="18" s="1"/>
  <c r="N172" i="2"/>
  <c r="N173" i="2" s="1"/>
  <c r="O173" i="2" s="1"/>
  <c r="L48" i="18"/>
  <c r="M48" i="18"/>
  <c r="R48" i="18" s="1"/>
  <c r="O47" i="18"/>
  <c r="N170" i="2"/>
  <c r="N171" i="2" s="1"/>
  <c r="O171" i="2" s="1"/>
  <c r="P47" i="18"/>
  <c r="Q47" i="18"/>
  <c r="L47" i="18"/>
  <c r="M47" i="18" s="1"/>
  <c r="R47" i="18" s="1"/>
  <c r="U47" i="18" s="1"/>
  <c r="O46" i="18"/>
  <c r="N168" i="2" s="1"/>
  <c r="N169" i="2" s="1"/>
  <c r="O169" i="2" s="1"/>
  <c r="P46" i="18"/>
  <c r="Q46" i="18" s="1"/>
  <c r="L46" i="18"/>
  <c r="M46" i="18" s="1"/>
  <c r="R46" i="18" s="1"/>
  <c r="O45" i="18"/>
  <c r="N166" i="2"/>
  <c r="N167" i="2" s="1"/>
  <c r="O167" i="2" s="1"/>
  <c r="P45" i="18"/>
  <c r="Q45" i="18"/>
  <c r="L45" i="18"/>
  <c r="M45" i="18"/>
  <c r="R45" i="18" s="1"/>
  <c r="S45" i="18" s="1"/>
  <c r="O44" i="18"/>
  <c r="L44" i="18"/>
  <c r="M44" i="18" s="1"/>
  <c r="R44" i="18" s="1"/>
  <c r="O43" i="18"/>
  <c r="L43" i="18"/>
  <c r="M43" i="18" s="1"/>
  <c r="R43" i="18" s="1"/>
  <c r="U43" i="18" s="1"/>
  <c r="O42" i="18"/>
  <c r="N160" i="2" s="1"/>
  <c r="N161" i="2" s="1"/>
  <c r="L42" i="18"/>
  <c r="M42" i="18" s="1"/>
  <c r="R42" i="18" s="1"/>
  <c r="O41" i="18"/>
  <c r="L41" i="18"/>
  <c r="M41" i="18"/>
  <c r="R41" i="18" s="1"/>
  <c r="O40" i="18"/>
  <c r="N32" i="2"/>
  <c r="N33" i="2" s="1"/>
  <c r="O33" i="2" s="1"/>
  <c r="L40" i="18"/>
  <c r="M40" i="18"/>
  <c r="R40" i="18"/>
  <c r="O39" i="18"/>
  <c r="N30" i="2"/>
  <c r="N31" i="2" s="1"/>
  <c r="O31" i="2" s="1"/>
  <c r="P39" i="18"/>
  <c r="Q39" i="18" s="1"/>
  <c r="L39" i="18"/>
  <c r="M39" i="18"/>
  <c r="R39" i="18" s="1"/>
  <c r="U39" i="18" s="1"/>
  <c r="O38" i="18"/>
  <c r="N28" i="2"/>
  <c r="N29" i="2" s="1"/>
  <c r="O29" i="2" s="1"/>
  <c r="P38" i="18"/>
  <c r="Q38" i="18"/>
  <c r="L38" i="18"/>
  <c r="M38" i="18" s="1"/>
  <c r="R38" i="18" s="1"/>
  <c r="O37" i="18"/>
  <c r="N234" i="2" s="1"/>
  <c r="N235" i="2" s="1"/>
  <c r="O235" i="2" s="1"/>
  <c r="P37" i="18"/>
  <c r="Q37" i="18" s="1"/>
  <c r="L37" i="18"/>
  <c r="M37" i="18"/>
  <c r="R37" i="18"/>
  <c r="S37" i="18" s="1"/>
  <c r="O36" i="18"/>
  <c r="P36" i="18" s="1"/>
  <c r="Q36" i="18" s="1"/>
  <c r="L36" i="18"/>
  <c r="M36" i="18"/>
  <c r="R36" i="18"/>
  <c r="O35" i="18"/>
  <c r="N473" i="2"/>
  <c r="N474" i="2" s="1"/>
  <c r="P35" i="18"/>
  <c r="Q35" i="18" s="1"/>
  <c r="L35" i="18"/>
  <c r="M35" i="18"/>
  <c r="R35" i="18"/>
  <c r="U35" i="18" s="1"/>
  <c r="O34" i="18"/>
  <c r="N24" i="2"/>
  <c r="N25" i="2" s="1"/>
  <c r="O25" i="2" s="1"/>
  <c r="P34" i="18"/>
  <c r="Q34" i="18"/>
  <c r="L34" i="18"/>
  <c r="M34" i="18" s="1"/>
  <c r="R34" i="18" s="1"/>
  <c r="O33" i="18"/>
  <c r="P33" i="18"/>
  <c r="Q33" i="18" s="1"/>
  <c r="N33" i="18"/>
  <c r="L33" i="18"/>
  <c r="M33" i="18"/>
  <c r="R33" i="18" s="1"/>
  <c r="S33" i="18" s="1"/>
  <c r="O32" i="18"/>
  <c r="L32" i="18"/>
  <c r="M32" i="18" s="1"/>
  <c r="R32" i="18" s="1"/>
  <c r="U32" i="18" s="1"/>
  <c r="O31" i="18"/>
  <c r="N21" i="2" s="1"/>
  <c r="N22" i="2" s="1"/>
  <c r="O22" i="2" s="1"/>
  <c r="P31" i="18"/>
  <c r="Q31" i="18" s="1"/>
  <c r="L31" i="18"/>
  <c r="M31" i="18" s="1"/>
  <c r="R31" i="18" s="1"/>
  <c r="O30" i="18"/>
  <c r="N19" i="2"/>
  <c r="P30" i="18"/>
  <c r="Q30" i="18"/>
  <c r="L30" i="18"/>
  <c r="M30" i="18"/>
  <c r="R30" i="18"/>
  <c r="S30" i="18"/>
  <c r="O29" i="18"/>
  <c r="P29" i="18" s="1"/>
  <c r="Q29" i="18" s="1"/>
  <c r="N416" i="2"/>
  <c r="N417" i="2" s="1"/>
  <c r="O417" i="2" s="1"/>
  <c r="L29" i="18"/>
  <c r="M29" i="18"/>
  <c r="R29" i="18" s="1"/>
  <c r="O28" i="18"/>
  <c r="N221" i="2"/>
  <c r="N222" i="2" s="1"/>
  <c r="O222" i="2" s="1"/>
  <c r="P28" i="18"/>
  <c r="Q28" i="18"/>
  <c r="L28" i="18"/>
  <c r="M28" i="18" s="1"/>
  <c r="R28" i="18" s="1"/>
  <c r="U28" i="18" s="1"/>
  <c r="O27" i="18"/>
  <c r="N467" i="2" s="1"/>
  <c r="N468" i="2" s="1"/>
  <c r="O468" i="2" s="1"/>
  <c r="P27" i="18"/>
  <c r="Q27" i="18" s="1"/>
  <c r="L27" i="18"/>
  <c r="M27" i="18" s="1"/>
  <c r="R27" i="18" s="1"/>
  <c r="O26" i="18"/>
  <c r="P26" i="18"/>
  <c r="Q26" i="18"/>
  <c r="L26" i="18"/>
  <c r="M26" i="18" s="1"/>
  <c r="R26" i="18" s="1"/>
  <c r="S26" i="18" s="1"/>
  <c r="O25" i="18"/>
  <c r="L25" i="18"/>
  <c r="M25" i="18"/>
  <c r="R25" i="18"/>
  <c r="O24" i="18"/>
  <c r="L24" i="18"/>
  <c r="M24" i="18"/>
  <c r="R24" i="18"/>
  <c r="U24" i="18"/>
  <c r="O23" i="18"/>
  <c r="N397" i="2"/>
  <c r="N398" i="2" s="1"/>
  <c r="O398" i="2" s="1"/>
  <c r="L23" i="18"/>
  <c r="M23" i="18"/>
  <c r="R23" i="18" s="1"/>
  <c r="N22" i="18"/>
  <c r="L22" i="18"/>
  <c r="M22" i="18"/>
  <c r="R22" i="18"/>
  <c r="S22" i="18"/>
  <c r="O21" i="18"/>
  <c r="N338" i="2"/>
  <c r="P21" i="18"/>
  <c r="Q21" i="18"/>
  <c r="L21" i="18"/>
  <c r="M21" i="18"/>
  <c r="R21" i="18"/>
  <c r="U21" i="18"/>
  <c r="O20" i="18"/>
  <c r="N15" i="2"/>
  <c r="P20" i="18"/>
  <c r="Q20" i="18"/>
  <c r="L20" i="18"/>
  <c r="M20" i="18" s="1"/>
  <c r="R20" i="18" s="1"/>
  <c r="O19" i="18"/>
  <c r="N402" i="2"/>
  <c r="N403" i="2" s="1"/>
  <c r="O403" i="2" s="1"/>
  <c r="P19" i="18"/>
  <c r="Q19" i="18"/>
  <c r="L19" i="18"/>
  <c r="M19" i="18"/>
  <c r="R19" i="18"/>
  <c r="P18" i="18"/>
  <c r="Q18" i="18" s="1"/>
  <c r="O18" i="18"/>
  <c r="N404" i="2"/>
  <c r="L18" i="18"/>
  <c r="M18" i="18" s="1"/>
  <c r="R18" i="18" s="1"/>
  <c r="O17" i="18"/>
  <c r="N410" i="2" s="1"/>
  <c r="N411" i="2" s="1"/>
  <c r="O411" i="2" s="1"/>
  <c r="P17" i="18"/>
  <c r="Q17" i="18" s="1"/>
  <c r="L17" i="18"/>
  <c r="M17" i="18"/>
  <c r="R17" i="18"/>
  <c r="N16" i="18"/>
  <c r="N120" i="18" s="1"/>
  <c r="L16" i="18"/>
  <c r="M16" i="18"/>
  <c r="R16" i="18" s="1"/>
  <c r="O15" i="18"/>
  <c r="P15" i="18" s="1"/>
  <c r="L15" i="18"/>
  <c r="M15" i="18" s="1"/>
  <c r="R15" i="18" s="1"/>
  <c r="U15" i="18" s="1"/>
  <c r="B3" i="18"/>
  <c r="R2" i="18" s="1"/>
  <c r="T12" i="18" s="1"/>
  <c r="R1" i="18"/>
  <c r="O376" i="2"/>
  <c r="P376" i="2" s="1"/>
  <c r="Q376" i="2" s="1"/>
  <c r="O399" i="2"/>
  <c r="P399" i="2" s="1"/>
  <c r="Q399" i="2" s="1"/>
  <c r="O1099" i="5"/>
  <c r="P1099" i="5" s="1"/>
  <c r="Q1099" i="5" s="1"/>
  <c r="L102" i="8"/>
  <c r="M102" i="8"/>
  <c r="L101" i="8"/>
  <c r="M101" i="8" s="1"/>
  <c r="L57" i="8"/>
  <c r="M57" i="8"/>
  <c r="L56" i="8"/>
  <c r="M56" i="8" s="1"/>
  <c r="L55" i="8"/>
  <c r="M55" i="8"/>
  <c r="O367" i="5"/>
  <c r="P367" i="5" s="1"/>
  <c r="Q367" i="5" s="1"/>
  <c r="L367" i="5"/>
  <c r="M367" i="5" s="1"/>
  <c r="O180" i="5"/>
  <c r="P180" i="5" s="1"/>
  <c r="Q180" i="5" s="1"/>
  <c r="O179" i="5"/>
  <c r="P179" i="5" s="1"/>
  <c r="Q179" i="5" s="1"/>
  <c r="O181" i="5"/>
  <c r="P181" i="5" s="1"/>
  <c r="Q181" i="5" s="1"/>
  <c r="L180" i="5"/>
  <c r="M180" i="5" s="1"/>
  <c r="L179" i="5"/>
  <c r="M179" i="5" s="1"/>
  <c r="L181" i="5"/>
  <c r="M181" i="5" s="1"/>
  <c r="O233" i="5"/>
  <c r="P233" i="5" s="1"/>
  <c r="Q233" i="5" s="1"/>
  <c r="O232" i="5"/>
  <c r="P232" i="5" s="1"/>
  <c r="Q232" i="5" s="1"/>
  <c r="O231" i="5"/>
  <c r="P231" i="5" s="1"/>
  <c r="Q231" i="5" s="1"/>
  <c r="O230" i="5"/>
  <c r="P230" i="5" s="1"/>
  <c r="Q230" i="5" s="1"/>
  <c r="L233" i="5"/>
  <c r="M233" i="5" s="1"/>
  <c r="L232" i="5"/>
  <c r="M232" i="5" s="1"/>
  <c r="L231" i="5"/>
  <c r="M231" i="5" s="1"/>
  <c r="L230" i="5"/>
  <c r="M230" i="5" s="1"/>
  <c r="L666" i="5"/>
  <c r="M666" i="5" s="1"/>
  <c r="L665" i="5"/>
  <c r="M665" i="5" s="1"/>
  <c r="L664" i="5"/>
  <c r="M664" i="5" s="1"/>
  <c r="L663" i="5"/>
  <c r="M663" i="5" s="1"/>
  <c r="O666" i="5"/>
  <c r="P666" i="5" s="1"/>
  <c r="Q666" i="5" s="1"/>
  <c r="O665" i="5"/>
  <c r="P665" i="5" s="1"/>
  <c r="Q665" i="5" s="1"/>
  <c r="O664" i="5"/>
  <c r="P664" i="5" s="1"/>
  <c r="Q664" i="5" s="1"/>
  <c r="O663" i="5"/>
  <c r="P663" i="5" s="1"/>
  <c r="Q663" i="5" s="1"/>
  <c r="O588" i="5"/>
  <c r="P588" i="5" s="1"/>
  <c r="Q588" i="5" s="1"/>
  <c r="O587" i="5"/>
  <c r="P587" i="5" s="1"/>
  <c r="Q587" i="5" s="1"/>
  <c r="O586" i="5"/>
  <c r="P586" i="5" s="1"/>
  <c r="Q586" i="5" s="1"/>
  <c r="L588" i="5"/>
  <c r="M588" i="5" s="1"/>
  <c r="L587" i="5"/>
  <c r="M587" i="5" s="1"/>
  <c r="L586" i="5"/>
  <c r="M586" i="5" s="1"/>
  <c r="O513" i="5"/>
  <c r="P513" i="5" s="1"/>
  <c r="Q513" i="5" s="1"/>
  <c r="O512" i="5"/>
  <c r="P512" i="5" s="1"/>
  <c r="Q512" i="5" s="1"/>
  <c r="O511" i="5"/>
  <c r="P511" i="5" s="1"/>
  <c r="Q511" i="5" s="1"/>
  <c r="O510" i="5"/>
  <c r="P510" i="5" s="1"/>
  <c r="Q510" i="5" s="1"/>
  <c r="L513" i="5"/>
  <c r="M513" i="5" s="1"/>
  <c r="L512" i="5"/>
  <c r="M512" i="5" s="1"/>
  <c r="L511" i="5"/>
  <c r="M511" i="5" s="1"/>
  <c r="L510" i="5"/>
  <c r="M510" i="5" s="1"/>
  <c r="L509" i="5"/>
  <c r="M509" i="5" s="1"/>
  <c r="O509" i="5"/>
  <c r="P509" i="5" s="1"/>
  <c r="Q509" i="5" s="1"/>
  <c r="O56" i="2"/>
  <c r="P56" i="2" s="1"/>
  <c r="Q56" i="2" s="1"/>
  <c r="O57" i="2"/>
  <c r="P57" i="2" s="1"/>
  <c r="Q57" i="2" s="1"/>
  <c r="L57" i="2"/>
  <c r="M57" i="2" s="1"/>
  <c r="L56" i="2"/>
  <c r="M56" i="2" s="1"/>
  <c r="O140" i="2"/>
  <c r="P140" i="2" s="1"/>
  <c r="Q140" i="2" s="1"/>
  <c r="O139" i="2"/>
  <c r="P139" i="2" s="1"/>
  <c r="Q139" i="2" s="1"/>
  <c r="O138" i="2"/>
  <c r="P138" i="2" s="1"/>
  <c r="Q138" i="2" s="1"/>
  <c r="O137" i="2"/>
  <c r="P137" i="2" s="1"/>
  <c r="Q137" i="2" s="1"/>
  <c r="O136" i="2"/>
  <c r="P136" i="2" s="1"/>
  <c r="Q136" i="2" s="1"/>
  <c r="O135" i="2"/>
  <c r="P135" i="2" s="1"/>
  <c r="Q135" i="2" s="1"/>
  <c r="O134" i="2"/>
  <c r="P134" i="2" s="1"/>
  <c r="Q134" i="2" s="1"/>
  <c r="O133" i="2"/>
  <c r="P133" i="2" s="1"/>
  <c r="Q133" i="2" s="1"/>
  <c r="L140" i="2"/>
  <c r="M140" i="2" s="1"/>
  <c r="L139" i="2"/>
  <c r="M139" i="2" s="1"/>
  <c r="R139" i="2" s="1"/>
  <c r="S139" i="2" s="1"/>
  <c r="L138" i="2"/>
  <c r="M138" i="2" s="1"/>
  <c r="L137" i="2"/>
  <c r="M137" i="2" s="1"/>
  <c r="L136" i="2"/>
  <c r="M136" i="2" s="1"/>
  <c r="L135" i="2"/>
  <c r="M135" i="2" s="1"/>
  <c r="L134" i="2"/>
  <c r="M134" i="2" s="1"/>
  <c r="L133" i="2"/>
  <c r="M133" i="2" s="1"/>
  <c r="E118" i="12"/>
  <c r="O362" i="2"/>
  <c r="P362" i="2" s="1"/>
  <c r="Q362" i="2" s="1"/>
  <c r="L362" i="2"/>
  <c r="M362" i="2" s="1"/>
  <c r="O38" i="2"/>
  <c r="P38" i="2" s="1"/>
  <c r="Q38" i="2" s="1"/>
  <c r="L38" i="2"/>
  <c r="M38" i="2" s="1"/>
  <c r="O132" i="2"/>
  <c r="P132" i="2" s="1"/>
  <c r="Q132" i="2" s="1"/>
  <c r="L132" i="2"/>
  <c r="M132" i="2" s="1"/>
  <c r="O100" i="5"/>
  <c r="P100" i="5" s="1"/>
  <c r="Q100" i="5" s="1"/>
  <c r="L100" i="5"/>
  <c r="M100" i="5" s="1"/>
  <c r="O585" i="5"/>
  <c r="P585" i="5" s="1"/>
  <c r="Q585" i="5" s="1"/>
  <c r="L585" i="5"/>
  <c r="M585" i="5" s="1"/>
  <c r="O508" i="5"/>
  <c r="P508" i="5" s="1"/>
  <c r="Q508" i="5" s="1"/>
  <c r="L508" i="5"/>
  <c r="M508" i="5" s="1"/>
  <c r="O167" i="5"/>
  <c r="P167" i="5" s="1"/>
  <c r="Q167" i="5" s="1"/>
  <c r="L167" i="5"/>
  <c r="M167" i="5" s="1"/>
  <c r="O170" i="5"/>
  <c r="P170" i="5" s="1"/>
  <c r="Q170" i="5" s="1"/>
  <c r="L170" i="5"/>
  <c r="M170" i="5" s="1"/>
  <c r="O662" i="5"/>
  <c r="P662" i="5" s="1"/>
  <c r="Q662" i="5" s="1"/>
  <c r="L662" i="5"/>
  <c r="M662" i="5" s="1"/>
  <c r="O171" i="5"/>
  <c r="P171" i="5" s="1"/>
  <c r="Q171" i="5" s="1"/>
  <c r="L171" i="5"/>
  <c r="M171" i="5" s="1"/>
  <c r="O169" i="5"/>
  <c r="P169" i="5" s="1"/>
  <c r="Q169" i="5" s="1"/>
  <c r="L169" i="5"/>
  <c r="M169" i="5" s="1"/>
  <c r="O168" i="5"/>
  <c r="P168" i="5" s="1"/>
  <c r="Q168" i="5" s="1"/>
  <c r="L168" i="5"/>
  <c r="M168" i="5" s="1"/>
  <c r="O661" i="5"/>
  <c r="P661" i="5" s="1"/>
  <c r="Q661" i="5" s="1"/>
  <c r="L661" i="5"/>
  <c r="M661" i="5" s="1"/>
  <c r="O584" i="5"/>
  <c r="P584" i="5" s="1"/>
  <c r="Q584" i="5" s="1"/>
  <c r="L584" i="5"/>
  <c r="M584" i="5" s="1"/>
  <c r="O44" i="5"/>
  <c r="P44" i="5" s="1"/>
  <c r="Q44" i="5" s="1"/>
  <c r="L44" i="5"/>
  <c r="M44" i="5" s="1"/>
  <c r="O507" i="5"/>
  <c r="P507" i="5" s="1"/>
  <c r="Q507" i="5" s="1"/>
  <c r="L507" i="5"/>
  <c r="M507" i="5" s="1"/>
  <c r="O149" i="5"/>
  <c r="P149" i="5" s="1"/>
  <c r="Q149" i="5" s="1"/>
  <c r="L149" i="5"/>
  <c r="M149" i="5" s="1"/>
  <c r="O366" i="5"/>
  <c r="P366" i="5" s="1"/>
  <c r="Q366" i="5" s="1"/>
  <c r="L366" i="5"/>
  <c r="M366" i="5" s="1"/>
  <c r="O365" i="5"/>
  <c r="P365" i="5" s="1"/>
  <c r="Q365" i="5" s="1"/>
  <c r="L365" i="5"/>
  <c r="M365" i="5" s="1"/>
  <c r="O364" i="5"/>
  <c r="P364" i="5" s="1"/>
  <c r="Q364" i="5" s="1"/>
  <c r="L364" i="5"/>
  <c r="M364" i="5" s="1"/>
  <c r="O363" i="5"/>
  <c r="P363" i="5" s="1"/>
  <c r="Q363" i="5" s="1"/>
  <c r="L363" i="5"/>
  <c r="M363" i="5" s="1"/>
  <c r="N212" i="2"/>
  <c r="N244" i="2"/>
  <c r="O55" i="2"/>
  <c r="P55" i="2" s="1"/>
  <c r="Q55" i="2" s="1"/>
  <c r="L55" i="2"/>
  <c r="M55" i="2" s="1"/>
  <c r="O54" i="2"/>
  <c r="P54" i="2" s="1"/>
  <c r="Q54" i="2" s="1"/>
  <c r="L54" i="2"/>
  <c r="M54" i="2" s="1"/>
  <c r="O253" i="2"/>
  <c r="P253" i="2" s="1"/>
  <c r="Q253" i="2" s="1"/>
  <c r="L253" i="2"/>
  <c r="M253" i="2" s="1"/>
  <c r="O53" i="2"/>
  <c r="P53" i="2" s="1"/>
  <c r="Q53" i="2" s="1"/>
  <c r="L53" i="2"/>
  <c r="M53" i="2" s="1"/>
  <c r="O205" i="2"/>
  <c r="P205" i="2" s="1"/>
  <c r="Q205" i="2" s="1"/>
  <c r="L205" i="2"/>
  <c r="M205" i="2" s="1"/>
  <c r="O252" i="2"/>
  <c r="L252" i="2"/>
  <c r="M252" i="2" s="1"/>
  <c r="O52" i="2"/>
  <c r="P52" i="2" s="1"/>
  <c r="Q52" i="2" s="1"/>
  <c r="L52" i="2"/>
  <c r="M52" i="2" s="1"/>
  <c r="O197" i="2"/>
  <c r="P197" i="2" s="1"/>
  <c r="Q197" i="2" s="1"/>
  <c r="L197" i="2"/>
  <c r="M197" i="2" s="1"/>
  <c r="O51" i="2"/>
  <c r="P51" i="2" s="1"/>
  <c r="Q51" i="2" s="1"/>
  <c r="L51" i="2"/>
  <c r="M51" i="2" s="1"/>
  <c r="O50" i="2"/>
  <c r="P50" i="2" s="1"/>
  <c r="Q50" i="2" s="1"/>
  <c r="L50" i="2"/>
  <c r="M50" i="2" s="1"/>
  <c r="O49" i="2"/>
  <c r="P49" i="2" s="1"/>
  <c r="Q49" i="2" s="1"/>
  <c r="L49" i="2"/>
  <c r="M49" i="2" s="1"/>
  <c r="O131" i="2"/>
  <c r="P131" i="2" s="1"/>
  <c r="Q131" i="2" s="1"/>
  <c r="L131" i="2"/>
  <c r="M131" i="2" s="1"/>
  <c r="C117" i="12"/>
  <c r="L45" i="8"/>
  <c r="M45" i="8" s="1"/>
  <c r="O48" i="2"/>
  <c r="P48" i="2" s="1"/>
  <c r="Q48" i="2" s="1"/>
  <c r="L48" i="2"/>
  <c r="M48" i="2" s="1"/>
  <c r="O47" i="2"/>
  <c r="P47" i="2" s="1"/>
  <c r="Q47" i="2" s="1"/>
  <c r="L47" i="2"/>
  <c r="M47" i="2" s="1"/>
  <c r="O46" i="2"/>
  <c r="P46" i="2" s="1"/>
  <c r="Q46" i="2" s="1"/>
  <c r="L46" i="2"/>
  <c r="M46" i="2" s="1"/>
  <c r="O177" i="5"/>
  <c r="P177" i="5" s="1"/>
  <c r="Q177" i="5" s="1"/>
  <c r="L177" i="5"/>
  <c r="M177" i="5" s="1"/>
  <c r="O1115" i="5"/>
  <c r="P1115" i="5" s="1"/>
  <c r="Q1115" i="5" s="1"/>
  <c r="L1115" i="5"/>
  <c r="M1115" i="5" s="1"/>
  <c r="O344" i="5"/>
  <c r="P344" i="5" s="1"/>
  <c r="Q344" i="5" s="1"/>
  <c r="L344" i="5"/>
  <c r="M344" i="5" s="1"/>
  <c r="O343" i="5"/>
  <c r="P343" i="5" s="1"/>
  <c r="Q343" i="5" s="1"/>
  <c r="L343" i="5"/>
  <c r="M343" i="5" s="1"/>
  <c r="O352" i="5"/>
  <c r="P352" i="5" s="1"/>
  <c r="Q352" i="5" s="1"/>
  <c r="L352" i="5"/>
  <c r="M352" i="5" s="1"/>
  <c r="O351" i="5"/>
  <c r="P351" i="5" s="1"/>
  <c r="Q351" i="5" s="1"/>
  <c r="O350" i="5"/>
  <c r="P350" i="5" s="1"/>
  <c r="Q350" i="5" s="1"/>
  <c r="L351" i="5"/>
  <c r="M351" i="5" s="1"/>
  <c r="L350" i="5"/>
  <c r="M350" i="5" s="1"/>
  <c r="O348" i="5"/>
  <c r="P348" i="5" s="1"/>
  <c r="Q348" i="5" s="1"/>
  <c r="L348" i="5"/>
  <c r="M348" i="5" s="1"/>
  <c r="O660" i="5"/>
  <c r="P660" i="5" s="1"/>
  <c r="Q660" i="5" s="1"/>
  <c r="L660" i="5"/>
  <c r="M660" i="5" s="1"/>
  <c r="O659" i="5"/>
  <c r="P659" i="5" s="1"/>
  <c r="Q659" i="5" s="1"/>
  <c r="O503" i="5"/>
  <c r="P503" i="5" s="1"/>
  <c r="Q503" i="5" s="1"/>
  <c r="L503" i="5"/>
  <c r="M503" i="5" s="1"/>
  <c r="O506" i="5"/>
  <c r="P506" i="5" s="1"/>
  <c r="Q506" i="5" s="1"/>
  <c r="O505" i="5"/>
  <c r="P505" i="5" s="1"/>
  <c r="Q505" i="5" s="1"/>
  <c r="O504" i="5"/>
  <c r="P504" i="5" s="1"/>
  <c r="Q504" i="5" s="1"/>
  <c r="O502" i="5"/>
  <c r="P502" i="5" s="1"/>
  <c r="Q502" i="5" s="1"/>
  <c r="O501" i="5"/>
  <c r="P501" i="5" s="1"/>
  <c r="Q501" i="5" s="1"/>
  <c r="O500" i="5"/>
  <c r="P500" i="5" s="1"/>
  <c r="Q500" i="5" s="1"/>
  <c r="O499" i="5"/>
  <c r="P499" i="5" s="1"/>
  <c r="Q499" i="5" s="1"/>
  <c r="L501" i="5"/>
  <c r="M501" i="5" s="1"/>
  <c r="L51" i="8"/>
  <c r="M51" i="8" s="1"/>
  <c r="O201" i="2"/>
  <c r="P201" i="2" s="1"/>
  <c r="Q201" i="2" s="1"/>
  <c r="L201" i="2"/>
  <c r="M201" i="2" s="1"/>
  <c r="O247" i="2"/>
  <c r="P247" i="2" s="1"/>
  <c r="Q247" i="2" s="1"/>
  <c r="L247" i="2"/>
  <c r="M247" i="2" s="1"/>
  <c r="O246" i="2"/>
  <c r="P246" i="2" s="1"/>
  <c r="Q246" i="2" s="1"/>
  <c r="L246" i="2"/>
  <c r="M246" i="2" s="1"/>
  <c r="O245" i="2"/>
  <c r="P245" i="2" s="1"/>
  <c r="Q245" i="2" s="1"/>
  <c r="L245" i="2"/>
  <c r="M245" i="2" s="1"/>
  <c r="L244" i="2"/>
  <c r="M244" i="2" s="1"/>
  <c r="O203" i="2"/>
  <c r="P203" i="2" s="1"/>
  <c r="Q203" i="2" s="1"/>
  <c r="L203" i="2"/>
  <c r="M203" i="2" s="1"/>
  <c r="O204" i="2"/>
  <c r="P204" i="2" s="1"/>
  <c r="Q204" i="2" s="1"/>
  <c r="L204" i="2"/>
  <c r="M204" i="2" s="1"/>
  <c r="L212" i="2"/>
  <c r="M212" i="2" s="1"/>
  <c r="O213" i="2"/>
  <c r="P213" i="2" s="1"/>
  <c r="Q213" i="2" s="1"/>
  <c r="L213" i="2"/>
  <c r="M213" i="2" s="1"/>
  <c r="O328" i="2"/>
  <c r="P328" i="2" s="1"/>
  <c r="L328" i="2"/>
  <c r="M328" i="2" s="1"/>
  <c r="O349" i="2"/>
  <c r="P349" i="2" s="1"/>
  <c r="Q349" i="2" s="1"/>
  <c r="L349" i="2"/>
  <c r="M349" i="2" s="1"/>
  <c r="L100" i="8"/>
  <c r="M100" i="8"/>
  <c r="L99" i="8"/>
  <c r="M99" i="8" s="1"/>
  <c r="L98" i="8"/>
  <c r="M98" i="8"/>
  <c r="O362" i="5"/>
  <c r="P362" i="5" s="1"/>
  <c r="Q362" i="5" s="1"/>
  <c r="L362" i="5"/>
  <c r="M362" i="5" s="1"/>
  <c r="O361" i="5"/>
  <c r="P361" i="5" s="1"/>
  <c r="Q361" i="5" s="1"/>
  <c r="O360" i="5"/>
  <c r="P360" i="5" s="1"/>
  <c r="Q360" i="5" s="1"/>
  <c r="L361" i="5"/>
  <c r="M361" i="5" s="1"/>
  <c r="L360" i="5"/>
  <c r="M360" i="5" s="1"/>
  <c r="O354" i="5"/>
  <c r="P354" i="5" s="1"/>
  <c r="Q354" i="5" s="1"/>
  <c r="L354" i="5"/>
  <c r="M354" i="5" s="1"/>
  <c r="O347" i="5"/>
  <c r="P347" i="5" s="1"/>
  <c r="Q347" i="5" s="1"/>
  <c r="L347" i="5"/>
  <c r="M347" i="5" s="1"/>
  <c r="O349" i="5"/>
  <c r="P349" i="5" s="1"/>
  <c r="Q349" i="5" s="1"/>
  <c r="L349" i="5"/>
  <c r="M349" i="5" s="1"/>
  <c r="O528" i="5"/>
  <c r="P528" i="5" s="1"/>
  <c r="L528" i="5"/>
  <c r="M528" i="5" s="1"/>
  <c r="O121" i="5"/>
  <c r="P121" i="5" s="1"/>
  <c r="Q121" i="5" s="1"/>
  <c r="L121" i="5"/>
  <c r="M121" i="5" s="1"/>
  <c r="O43" i="5"/>
  <c r="P43" i="5" s="1"/>
  <c r="Q43" i="5" s="1"/>
  <c r="L43" i="5"/>
  <c r="M43" i="5" s="1"/>
  <c r="O172" i="5"/>
  <c r="P172" i="5" s="1"/>
  <c r="Q172" i="5" s="1"/>
  <c r="L172" i="5"/>
  <c r="M172" i="5" s="1"/>
  <c r="O148" i="5"/>
  <c r="P148" i="5" s="1"/>
  <c r="Q148" i="5" s="1"/>
  <c r="L148" i="5"/>
  <c r="M148" i="5" s="1"/>
  <c r="O97" i="5"/>
  <c r="P97" i="5" s="1"/>
  <c r="Q97" i="5" s="1"/>
  <c r="L97" i="5"/>
  <c r="M97" i="5" s="1"/>
  <c r="O223" i="5"/>
  <c r="P223" i="5" s="1"/>
  <c r="Q223" i="5" s="1"/>
  <c r="L223" i="5"/>
  <c r="M223" i="5" s="1"/>
  <c r="O145" i="5"/>
  <c r="P145" i="5" s="1"/>
  <c r="Q145" i="5" s="1"/>
  <c r="L145" i="5"/>
  <c r="M145" i="5" s="1"/>
  <c r="O96" i="5"/>
  <c r="P96" i="5" s="1"/>
  <c r="Q96" i="5" s="1"/>
  <c r="L96" i="5"/>
  <c r="M96" i="5" s="1"/>
  <c r="L659" i="5"/>
  <c r="M659" i="5" s="1"/>
  <c r="O658" i="5"/>
  <c r="P658" i="5" s="1"/>
  <c r="Q658" i="5" s="1"/>
  <c r="L658" i="5"/>
  <c r="M658" i="5" s="1"/>
  <c r="O583" i="5"/>
  <c r="P583" i="5" s="1"/>
  <c r="Q583" i="5" s="1"/>
  <c r="L583" i="5"/>
  <c r="M583" i="5" s="1"/>
  <c r="O582" i="5"/>
  <c r="P582" i="5" s="1"/>
  <c r="Q582" i="5" s="1"/>
  <c r="L582" i="5"/>
  <c r="M582" i="5" s="1"/>
  <c r="L506" i="5"/>
  <c r="M506" i="5" s="1"/>
  <c r="L505" i="5"/>
  <c r="M505" i="5" s="1"/>
  <c r="L504" i="5"/>
  <c r="M504" i="5" s="1"/>
  <c r="L502" i="5"/>
  <c r="M502" i="5" s="1"/>
  <c r="L500" i="5"/>
  <c r="M500" i="5" s="1"/>
  <c r="L499" i="5"/>
  <c r="M499" i="5" s="1"/>
  <c r="O212" i="5"/>
  <c r="P212" i="5" s="1"/>
  <c r="Q212" i="5" s="1"/>
  <c r="L212" i="5"/>
  <c r="M212" i="5" s="1"/>
  <c r="O147" i="5"/>
  <c r="P147" i="5" s="1"/>
  <c r="Q147" i="5" s="1"/>
  <c r="L147" i="5"/>
  <c r="M147" i="5" s="1"/>
  <c r="O61" i="5"/>
  <c r="P61" i="5" s="1"/>
  <c r="Q61" i="5" s="1"/>
  <c r="L61" i="5"/>
  <c r="M61" i="5" s="1"/>
  <c r="O225" i="5"/>
  <c r="P225" i="5" s="1"/>
  <c r="Q225" i="5" s="1"/>
  <c r="L225" i="5"/>
  <c r="M225" i="5" s="1"/>
  <c r="O224" i="5"/>
  <c r="P224" i="5" s="1"/>
  <c r="Q224" i="5" s="1"/>
  <c r="L224" i="5"/>
  <c r="M224" i="5" s="1"/>
  <c r="O42" i="5"/>
  <c r="P42" i="5" s="1"/>
  <c r="Q42" i="5" s="1"/>
  <c r="L42" i="5"/>
  <c r="M42" i="5" s="1"/>
  <c r="O41" i="5"/>
  <c r="P41" i="5" s="1"/>
  <c r="Q41" i="5" s="1"/>
  <c r="L41" i="5"/>
  <c r="M41" i="5" s="1"/>
  <c r="O226" i="5"/>
  <c r="P226" i="5" s="1"/>
  <c r="Q226" i="5" s="1"/>
  <c r="L226" i="5"/>
  <c r="M226" i="5" s="1"/>
  <c r="O359" i="5"/>
  <c r="P359" i="5" s="1"/>
  <c r="Q359" i="5" s="1"/>
  <c r="L359" i="5"/>
  <c r="M359" i="5" s="1"/>
  <c r="O358" i="5"/>
  <c r="P358" i="5" s="1"/>
  <c r="Q358" i="5" s="1"/>
  <c r="L358" i="5"/>
  <c r="M358" i="5" s="1"/>
  <c r="O357" i="5"/>
  <c r="P357" i="5" s="1"/>
  <c r="Q357" i="5" s="1"/>
  <c r="L357" i="5"/>
  <c r="M357" i="5" s="1"/>
  <c r="O498" i="5"/>
  <c r="P498" i="5" s="1"/>
  <c r="Q498" i="5" s="1"/>
  <c r="L498" i="5"/>
  <c r="M498" i="5" s="1"/>
  <c r="O497" i="5"/>
  <c r="P497" i="5" s="1"/>
  <c r="Q497" i="5" s="1"/>
  <c r="L497" i="5"/>
  <c r="M497" i="5" s="1"/>
  <c r="O494" i="5"/>
  <c r="P494" i="5" s="1"/>
  <c r="Q494" i="5" s="1"/>
  <c r="L494" i="5"/>
  <c r="M494" i="5" s="1"/>
  <c r="O496" i="5"/>
  <c r="P496" i="5" s="1"/>
  <c r="Q496" i="5" s="1"/>
  <c r="L496" i="5"/>
  <c r="M496" i="5" s="1"/>
  <c r="O495" i="5"/>
  <c r="P495" i="5" s="1"/>
  <c r="Q495" i="5" s="1"/>
  <c r="L495" i="5"/>
  <c r="M495" i="5" s="1"/>
  <c r="O493" i="5"/>
  <c r="P493" i="5" s="1"/>
  <c r="Q493" i="5" s="1"/>
  <c r="L493" i="5"/>
  <c r="M493" i="5" s="1"/>
  <c r="O492" i="5"/>
  <c r="P492" i="5" s="1"/>
  <c r="Q492" i="5" s="1"/>
  <c r="L492" i="5"/>
  <c r="M492" i="5" s="1"/>
  <c r="O491" i="5"/>
  <c r="P491" i="5" s="1"/>
  <c r="Q491" i="5" s="1"/>
  <c r="L491" i="5"/>
  <c r="M491" i="5" s="1"/>
  <c r="O490" i="5"/>
  <c r="P490" i="5" s="1"/>
  <c r="Q490" i="5" s="1"/>
  <c r="L490" i="5"/>
  <c r="M490" i="5" s="1"/>
  <c r="O488" i="5"/>
  <c r="P488" i="5" s="1"/>
  <c r="Q488" i="5" s="1"/>
  <c r="L488" i="5"/>
  <c r="M488" i="5" s="1"/>
  <c r="O487" i="5"/>
  <c r="P487" i="5" s="1"/>
  <c r="Q487" i="5" s="1"/>
  <c r="L487" i="5"/>
  <c r="M487" i="5" s="1"/>
  <c r="O489" i="5"/>
  <c r="P489" i="5" s="1"/>
  <c r="Q489" i="5" s="1"/>
  <c r="L489" i="5"/>
  <c r="M489" i="5" s="1"/>
  <c r="O581" i="5"/>
  <c r="P581" i="5" s="1"/>
  <c r="Q581" i="5" s="1"/>
  <c r="L581" i="5"/>
  <c r="M581" i="5" s="1"/>
  <c r="O580" i="5"/>
  <c r="P580" i="5" s="1"/>
  <c r="Q580" i="5" s="1"/>
  <c r="L580" i="5"/>
  <c r="M580" i="5" s="1"/>
  <c r="O657" i="5"/>
  <c r="P657" i="5" s="1"/>
  <c r="Q657" i="5" s="1"/>
  <c r="L657" i="5"/>
  <c r="M657" i="5" s="1"/>
  <c r="O656" i="5"/>
  <c r="P656" i="5" s="1"/>
  <c r="Q656" i="5" s="1"/>
  <c r="L656" i="5"/>
  <c r="M656" i="5" s="1"/>
  <c r="O655" i="5"/>
  <c r="P655" i="5" s="1"/>
  <c r="Q655" i="5" s="1"/>
  <c r="L655" i="5"/>
  <c r="M655" i="5" s="1"/>
  <c r="O654" i="5"/>
  <c r="P654" i="5" s="1"/>
  <c r="Q654" i="5" s="1"/>
  <c r="L654" i="5"/>
  <c r="M654" i="5" s="1"/>
  <c r="L97" i="8"/>
  <c r="M97" i="8" s="1"/>
  <c r="L96" i="8"/>
  <c r="M96" i="8"/>
  <c r="O348" i="2"/>
  <c r="P348" i="2" s="1"/>
  <c r="Q348" i="2" s="1"/>
  <c r="L348" i="2"/>
  <c r="M348" i="2" s="1"/>
  <c r="O418" i="2"/>
  <c r="P418" i="2" s="1"/>
  <c r="Q418" i="2" s="1"/>
  <c r="L418" i="2"/>
  <c r="M418" i="2" s="1"/>
  <c r="R418" i="2" s="1"/>
  <c r="S418" i="2" s="1"/>
  <c r="O236" i="2"/>
  <c r="P236" i="2" s="1"/>
  <c r="Q236" i="2" s="1"/>
  <c r="L236" i="2"/>
  <c r="M236" i="2" s="1"/>
  <c r="R236" i="2" s="1"/>
  <c r="O199" i="2"/>
  <c r="P199" i="2" s="1"/>
  <c r="Q199" i="2" s="1"/>
  <c r="L199" i="2"/>
  <c r="M199" i="2" s="1"/>
  <c r="O227" i="5"/>
  <c r="P227" i="5" s="1"/>
  <c r="Q227" i="5" s="1"/>
  <c r="O102" i="5"/>
  <c r="P102" i="5" s="1"/>
  <c r="Q102" i="5" s="1"/>
  <c r="L227" i="5"/>
  <c r="M227" i="5" s="1"/>
  <c r="L102" i="5"/>
  <c r="M102" i="5" s="1"/>
  <c r="O47" i="5"/>
  <c r="P47" i="5" s="1"/>
  <c r="Q47" i="5" s="1"/>
  <c r="L47" i="5"/>
  <c r="M47" i="5" s="1"/>
  <c r="O135" i="5"/>
  <c r="P135" i="5" s="1"/>
  <c r="Q135" i="5" s="1"/>
  <c r="L135" i="5"/>
  <c r="M135" i="5" s="1"/>
  <c r="O51" i="5"/>
  <c r="P51" i="5" s="1"/>
  <c r="Q51" i="5" s="1"/>
  <c r="L51" i="5"/>
  <c r="M51" i="5" s="1"/>
  <c r="O198" i="2"/>
  <c r="P198" i="2" s="1"/>
  <c r="Q198" i="2" s="1"/>
  <c r="L198" i="2"/>
  <c r="M198" i="2" s="1"/>
  <c r="O653" i="5"/>
  <c r="P653" i="5" s="1"/>
  <c r="Q653" i="5" s="1"/>
  <c r="L653" i="5"/>
  <c r="M653" i="5" s="1"/>
  <c r="O98" i="5"/>
  <c r="P98" i="5" s="1"/>
  <c r="Q98" i="5" s="1"/>
  <c r="L98" i="5"/>
  <c r="M98" i="5" s="1"/>
  <c r="O152" i="5"/>
  <c r="P152" i="5" s="1"/>
  <c r="Q152" i="5" s="1"/>
  <c r="L152" i="5"/>
  <c r="M152" i="5" s="1"/>
  <c r="L36" i="8"/>
  <c r="M36" i="8" s="1"/>
  <c r="O579" i="5"/>
  <c r="P579" i="5" s="1"/>
  <c r="Q579" i="5" s="1"/>
  <c r="L579" i="5"/>
  <c r="M579" i="5" s="1"/>
  <c r="O228" i="5"/>
  <c r="P228" i="5" s="1"/>
  <c r="Q228" i="5" s="1"/>
  <c r="L228" i="5"/>
  <c r="M228" i="5" s="1"/>
  <c r="O151" i="5"/>
  <c r="P151" i="5" s="1"/>
  <c r="Q151" i="5" s="1"/>
  <c r="O99" i="5"/>
  <c r="P99" i="5" s="1"/>
  <c r="Q99" i="5" s="1"/>
  <c r="L151" i="5"/>
  <c r="M151" i="5" s="1"/>
  <c r="L99" i="5"/>
  <c r="M99" i="5" s="1"/>
  <c r="N486" i="5"/>
  <c r="O486" i="5" s="1"/>
  <c r="P486" i="5" s="1"/>
  <c r="Q486" i="5" s="1"/>
  <c r="L486" i="5"/>
  <c r="M486" i="5" s="1"/>
  <c r="B486" i="5"/>
  <c r="O228" i="2"/>
  <c r="P228" i="2" s="1"/>
  <c r="Q228" i="2" s="1"/>
  <c r="O45" i="2"/>
  <c r="P45" i="2" s="1"/>
  <c r="Q45" i="2" s="1"/>
  <c r="O202" i="2"/>
  <c r="P202" i="2" s="1"/>
  <c r="Q202" i="2" s="1"/>
  <c r="L228" i="2"/>
  <c r="M228" i="2" s="1"/>
  <c r="L45" i="2"/>
  <c r="M45" i="2" s="1"/>
  <c r="L202" i="2"/>
  <c r="M202" i="2" s="1"/>
  <c r="O485" i="5"/>
  <c r="P485" i="5" s="1"/>
  <c r="Q485" i="5" s="1"/>
  <c r="L485" i="5"/>
  <c r="M485" i="5" s="1"/>
  <c r="O652" i="5"/>
  <c r="P652" i="5" s="1"/>
  <c r="Q652" i="5" s="1"/>
  <c r="O651" i="5"/>
  <c r="P651" i="5" s="1"/>
  <c r="Q651" i="5" s="1"/>
  <c r="L652" i="5"/>
  <c r="M652" i="5" s="1"/>
  <c r="L651" i="5"/>
  <c r="M651" i="5" s="1"/>
  <c r="O578" i="5"/>
  <c r="P578" i="5" s="1"/>
  <c r="Q578" i="5" s="1"/>
  <c r="O577" i="5"/>
  <c r="P577" i="5" s="1"/>
  <c r="Q577" i="5" s="1"/>
  <c r="L578" i="5"/>
  <c r="M578" i="5" s="1"/>
  <c r="L577" i="5"/>
  <c r="M577" i="5" s="1"/>
  <c r="L95" i="8"/>
  <c r="M95" i="8" s="1"/>
  <c r="L94" i="8"/>
  <c r="M94" i="8"/>
  <c r="O101" i="5"/>
  <c r="P101" i="5" s="1"/>
  <c r="Q101" i="5" s="1"/>
  <c r="L101" i="5"/>
  <c r="M101" i="5" s="1"/>
  <c r="L423" i="2"/>
  <c r="O484" i="5"/>
  <c r="P484" i="5" s="1"/>
  <c r="Q484" i="5" s="1"/>
  <c r="L484" i="5"/>
  <c r="M484" i="5" s="1"/>
  <c r="O576" i="5"/>
  <c r="P576" i="5" s="1"/>
  <c r="Q576" i="5" s="1"/>
  <c r="L576" i="5"/>
  <c r="M576" i="5" s="1"/>
  <c r="O44" i="2"/>
  <c r="P44" i="2" s="1"/>
  <c r="Q44" i="2" s="1"/>
  <c r="L44" i="2"/>
  <c r="M44" i="2" s="1"/>
  <c r="O483" i="5"/>
  <c r="P483" i="5" s="1"/>
  <c r="Q483" i="5" s="1"/>
  <c r="L483" i="5"/>
  <c r="M483" i="5" s="1"/>
  <c r="O200" i="2"/>
  <c r="P200" i="2" s="1"/>
  <c r="Q200" i="2" s="1"/>
  <c r="L200" i="2"/>
  <c r="M200" i="2" s="1"/>
  <c r="N482" i="5"/>
  <c r="O482" i="5" s="1"/>
  <c r="P482" i="5" s="1"/>
  <c r="Q482" i="5" s="1"/>
  <c r="E114" i="12"/>
  <c r="B482" i="5"/>
  <c r="L482" i="5"/>
  <c r="M482" i="5" s="1"/>
  <c r="O43" i="2"/>
  <c r="P43" i="2" s="1"/>
  <c r="Q43" i="2" s="1"/>
  <c r="O42" i="2"/>
  <c r="P42" i="2" s="1"/>
  <c r="Q42" i="2" s="1"/>
  <c r="L43" i="2"/>
  <c r="M43" i="2" s="1"/>
  <c r="L42" i="2"/>
  <c r="M42" i="2" s="1"/>
  <c r="O41" i="2"/>
  <c r="P41" i="2" s="1"/>
  <c r="Q41" i="2" s="1"/>
  <c r="L41" i="2"/>
  <c r="M41" i="2" s="1"/>
  <c r="O196" i="2"/>
  <c r="P196" i="2" s="1"/>
  <c r="Q196" i="2" s="1"/>
  <c r="L196" i="2"/>
  <c r="M196" i="2" s="1"/>
  <c r="O195" i="2"/>
  <c r="P195" i="2" s="1"/>
  <c r="Q195" i="2" s="1"/>
  <c r="L195" i="2"/>
  <c r="M195" i="2" s="1"/>
  <c r="O194" i="2"/>
  <c r="P194" i="2" s="1"/>
  <c r="Q194" i="2" s="1"/>
  <c r="L194" i="2"/>
  <c r="M194" i="2" s="1"/>
  <c r="C113" i="12"/>
  <c r="L93" i="8"/>
  <c r="M93" i="8"/>
  <c r="L92" i="8"/>
  <c r="M92" i="8" s="1"/>
  <c r="O575" i="5"/>
  <c r="P575" i="5" s="1"/>
  <c r="Q575" i="5" s="1"/>
  <c r="L575" i="5"/>
  <c r="M575" i="5" s="1"/>
  <c r="O481" i="5"/>
  <c r="P481" i="5" s="1"/>
  <c r="Q481" i="5" s="1"/>
  <c r="L481" i="5"/>
  <c r="M481" i="5" s="1"/>
  <c r="O229" i="5"/>
  <c r="P229" i="5" s="1"/>
  <c r="Q229" i="5" s="1"/>
  <c r="L229" i="5"/>
  <c r="M229" i="5" s="1"/>
  <c r="O213" i="5"/>
  <c r="P213" i="5" s="1"/>
  <c r="Q213" i="5" s="1"/>
  <c r="L213" i="5"/>
  <c r="M213" i="5" s="1"/>
  <c r="L54" i="8"/>
  <c r="M54" i="8"/>
  <c r="E112" i="12"/>
  <c r="N40" i="2"/>
  <c r="O40" i="2" s="1"/>
  <c r="P40" i="2" s="1"/>
  <c r="L40" i="2"/>
  <c r="M40" i="2" s="1"/>
  <c r="O286" i="2"/>
  <c r="P286" i="2" s="1"/>
  <c r="Q286" i="2" s="1"/>
  <c r="L286" i="2"/>
  <c r="M286" i="2" s="1"/>
  <c r="L91" i="8"/>
  <c r="M91" i="8"/>
  <c r="O197" i="5"/>
  <c r="P197" i="5" s="1"/>
  <c r="Q197" i="5" s="1"/>
  <c r="O187" i="5"/>
  <c r="P187" i="5" s="1"/>
  <c r="Q187" i="5" s="1"/>
  <c r="L197" i="5"/>
  <c r="M197" i="5" s="1"/>
  <c r="L187" i="5"/>
  <c r="M187" i="5" s="1"/>
  <c r="O356" i="5"/>
  <c r="P356" i="5" s="1"/>
  <c r="Q356" i="5" s="1"/>
  <c r="L356" i="5"/>
  <c r="M356" i="5" s="1"/>
  <c r="O355" i="5"/>
  <c r="P355" i="5" s="1"/>
  <c r="Q355" i="5" s="1"/>
  <c r="L355" i="5"/>
  <c r="M355" i="5" s="1"/>
  <c r="O73" i="5"/>
  <c r="P73" i="5" s="1"/>
  <c r="Q73" i="5" s="1"/>
  <c r="L73" i="5"/>
  <c r="M73" i="5" s="1"/>
  <c r="O74" i="5"/>
  <c r="P74" i="5" s="1"/>
  <c r="Q74" i="5" s="1"/>
  <c r="L74" i="5"/>
  <c r="M74" i="5" s="1"/>
  <c r="O48" i="5"/>
  <c r="P48" i="5" s="1"/>
  <c r="Q48" i="5" s="1"/>
  <c r="L48" i="5"/>
  <c r="M48" i="5" s="1"/>
  <c r="N650" i="5"/>
  <c r="O650" i="5" s="1"/>
  <c r="P650" i="5" s="1"/>
  <c r="Q650" i="5" s="1"/>
  <c r="L650" i="5"/>
  <c r="M650" i="5" s="1"/>
  <c r="B650" i="5"/>
  <c r="N574" i="5"/>
  <c r="O574" i="5" s="1"/>
  <c r="P574" i="5" s="1"/>
  <c r="Q574" i="5" s="1"/>
  <c r="L574" i="5"/>
  <c r="M574" i="5" s="1"/>
  <c r="B574" i="5"/>
  <c r="O165" i="5"/>
  <c r="P165" i="5" s="1"/>
  <c r="Q165" i="5" s="1"/>
  <c r="O72" i="5"/>
  <c r="P72" i="5" s="1"/>
  <c r="Q72" i="5" s="1"/>
  <c r="O49" i="5"/>
  <c r="P49" i="5" s="1"/>
  <c r="Q49" i="5" s="1"/>
  <c r="L165" i="5"/>
  <c r="M165" i="5" s="1"/>
  <c r="L72" i="5"/>
  <c r="M72" i="5" s="1"/>
  <c r="L49" i="5"/>
  <c r="M49" i="5" s="1"/>
  <c r="N193" i="2"/>
  <c r="O193" i="2" s="1"/>
  <c r="N480" i="5"/>
  <c r="O480" i="5" s="1"/>
  <c r="L480" i="5"/>
  <c r="M480" i="5" s="1"/>
  <c r="B480" i="5"/>
  <c r="O275" i="2"/>
  <c r="P275" i="2" s="1"/>
  <c r="Q275" i="2" s="1"/>
  <c r="L275" i="2"/>
  <c r="M275" i="2" s="1"/>
  <c r="O274" i="2"/>
  <c r="P274" i="2" s="1"/>
  <c r="Q274" i="2" s="1"/>
  <c r="L274" i="2"/>
  <c r="M274" i="2" s="1"/>
  <c r="R274" i="2" s="1"/>
  <c r="S274" i="2" s="1"/>
  <c r="O157" i="2"/>
  <c r="P157" i="2" s="1"/>
  <c r="Q157" i="2" s="1"/>
  <c r="L157" i="2"/>
  <c r="M157" i="2" s="1"/>
  <c r="R157" i="2" s="1"/>
  <c r="S157" i="2" s="1"/>
  <c r="T157" i="2" s="1"/>
  <c r="U157" i="2" s="1"/>
  <c r="O273" i="2"/>
  <c r="P273" i="2" s="1"/>
  <c r="L273" i="2"/>
  <c r="M273" i="2" s="1"/>
  <c r="R273" i="2" s="1"/>
  <c r="N241" i="2"/>
  <c r="O241" i="2" s="1"/>
  <c r="L241" i="2"/>
  <c r="M241" i="2" s="1"/>
  <c r="O272" i="2"/>
  <c r="P272" i="2" s="1"/>
  <c r="Q272" i="2" s="1"/>
  <c r="L272" i="2"/>
  <c r="M272" i="2" s="1"/>
  <c r="R272" i="2" s="1"/>
  <c r="O269" i="2"/>
  <c r="P269" i="2" s="1"/>
  <c r="Q269" i="2" s="1"/>
  <c r="L269" i="2"/>
  <c r="M269" i="2" s="1"/>
  <c r="O156" i="2"/>
  <c r="P156" i="2" s="1"/>
  <c r="Q156" i="2" s="1"/>
  <c r="L156" i="2"/>
  <c r="M156" i="2" s="1"/>
  <c r="R156" i="2" s="1"/>
  <c r="S156" i="2" s="1"/>
  <c r="O266" i="2"/>
  <c r="P266" i="2" s="1"/>
  <c r="Q266" i="2" s="1"/>
  <c r="L266" i="2"/>
  <c r="M266" i="2" s="1"/>
  <c r="N265" i="2"/>
  <c r="O265" i="2" s="1"/>
  <c r="L265" i="2"/>
  <c r="M265" i="2" s="1"/>
  <c r="R265" i="2" s="1"/>
  <c r="E110" i="12"/>
  <c r="O130" i="2"/>
  <c r="P130" i="2" s="1"/>
  <c r="Q130" i="2" s="1"/>
  <c r="L130" i="2"/>
  <c r="M130" i="2" s="1"/>
  <c r="L193" i="2"/>
  <c r="M193" i="2" s="1"/>
  <c r="L34" i="8"/>
  <c r="M34" i="8" s="1"/>
  <c r="L35" i="8"/>
  <c r="M35" i="8"/>
  <c r="N527" i="5"/>
  <c r="N530" i="5" s="1"/>
  <c r="B45" i="12" s="1"/>
  <c r="L527" i="5"/>
  <c r="M527" i="5" s="1"/>
  <c r="B527" i="5"/>
  <c r="O649" i="5"/>
  <c r="P649" i="5" s="1"/>
  <c r="Q649" i="5" s="1"/>
  <c r="O648" i="5"/>
  <c r="P648" i="5" s="1"/>
  <c r="Q648" i="5" s="1"/>
  <c r="L649" i="5"/>
  <c r="M649" i="5" s="1"/>
  <c r="L648" i="5"/>
  <c r="M648" i="5" s="1"/>
  <c r="O479" i="5"/>
  <c r="P479" i="5" s="1"/>
  <c r="Q479" i="5" s="1"/>
  <c r="O478" i="5"/>
  <c r="P478" i="5" s="1"/>
  <c r="Q478" i="5" s="1"/>
  <c r="L479" i="5"/>
  <c r="M479" i="5" s="1"/>
  <c r="L478" i="5"/>
  <c r="M478" i="5" s="1"/>
  <c r="L90" i="8"/>
  <c r="M90" i="8" s="1"/>
  <c r="L89" i="8"/>
  <c r="M89" i="8" s="1"/>
  <c r="L88" i="8"/>
  <c r="M88" i="8"/>
  <c r="O573" i="5"/>
  <c r="P573" i="5" s="1"/>
  <c r="Q573" i="5" s="1"/>
  <c r="O572" i="5"/>
  <c r="P572" i="5" s="1"/>
  <c r="Q572" i="5" s="1"/>
  <c r="L573" i="5"/>
  <c r="M573" i="5" s="1"/>
  <c r="L572" i="5"/>
  <c r="M572" i="5" s="1"/>
  <c r="L33" i="8"/>
  <c r="M33" i="8" s="1"/>
  <c r="O477" i="5"/>
  <c r="P477" i="5" s="1"/>
  <c r="Q477" i="5" s="1"/>
  <c r="L477" i="5"/>
  <c r="M477" i="5" s="1"/>
  <c r="O647" i="5"/>
  <c r="P647" i="5" s="1"/>
  <c r="Q647" i="5" s="1"/>
  <c r="L647" i="5"/>
  <c r="M647" i="5" s="1"/>
  <c r="O646" i="5"/>
  <c r="P646" i="5" s="1"/>
  <c r="Q646" i="5" s="1"/>
  <c r="L646" i="5"/>
  <c r="M646" i="5" s="1"/>
  <c r="L87" i="8"/>
  <c r="M87" i="8"/>
  <c r="L86" i="8"/>
  <c r="M86" i="8"/>
  <c r="O415" i="2"/>
  <c r="P415" i="2" s="1"/>
  <c r="Q415" i="2" s="1"/>
  <c r="L415" i="2"/>
  <c r="M415" i="2" s="1"/>
  <c r="O571" i="5"/>
  <c r="P571" i="5" s="1"/>
  <c r="Q571" i="5" s="1"/>
  <c r="O570" i="5"/>
  <c r="P570" i="5" s="1"/>
  <c r="Q570" i="5" s="1"/>
  <c r="L571" i="5"/>
  <c r="M571" i="5" s="1"/>
  <c r="L570" i="5"/>
  <c r="M570" i="5" s="1"/>
  <c r="L53" i="8"/>
  <c r="M53" i="8" s="1"/>
  <c r="O476" i="5"/>
  <c r="P476" i="5" s="1"/>
  <c r="Q476" i="5" s="1"/>
  <c r="L476" i="5"/>
  <c r="M476" i="5" s="1"/>
  <c r="N364" i="2"/>
  <c r="N187" i="2"/>
  <c r="O191" i="2"/>
  <c r="P191" i="2" s="1"/>
  <c r="Q191" i="2" s="1"/>
  <c r="L191" i="2"/>
  <c r="M191" i="2" s="1"/>
  <c r="R191" i="2" s="1"/>
  <c r="S191" i="2" s="1"/>
  <c r="L24" i="8"/>
  <c r="M24" i="8" s="1"/>
  <c r="L390" i="2"/>
  <c r="M390" i="2" s="1"/>
  <c r="O390" i="2"/>
  <c r="P390" i="2" s="1"/>
  <c r="Q390" i="2" s="1"/>
  <c r="N491" i="2"/>
  <c r="O491" i="2" s="1"/>
  <c r="P491" i="2" s="1"/>
  <c r="Q491" i="2" s="1"/>
  <c r="N493" i="2"/>
  <c r="O493" i="2" s="1"/>
  <c r="P493" i="2" s="1"/>
  <c r="Q493" i="2" s="1"/>
  <c r="N123" i="2"/>
  <c r="N122" i="2"/>
  <c r="O122" i="2" s="1"/>
  <c r="P122" i="2" s="1"/>
  <c r="Q122" i="2" s="1"/>
  <c r="N477" i="2"/>
  <c r="O477" i="2" s="1"/>
  <c r="P477" i="2" s="1"/>
  <c r="Q477" i="2" s="1"/>
  <c r="N370" i="2"/>
  <c r="O370" i="2" s="1"/>
  <c r="P370" i="2" s="1"/>
  <c r="Q370" i="2" s="1"/>
  <c r="N374" i="2"/>
  <c r="L491" i="2"/>
  <c r="M491" i="2" s="1"/>
  <c r="R491" i="2" s="1"/>
  <c r="L493" i="2"/>
  <c r="M493" i="2" s="1"/>
  <c r="L123" i="2"/>
  <c r="M123" i="2" s="1"/>
  <c r="L122" i="2"/>
  <c r="M122" i="2" s="1"/>
  <c r="R122" i="2" s="1"/>
  <c r="L477" i="2"/>
  <c r="M477" i="2" s="1"/>
  <c r="R477" i="2" s="1"/>
  <c r="L370" i="2"/>
  <c r="M370" i="2" s="1"/>
  <c r="N125" i="2"/>
  <c r="O125" i="2" s="1"/>
  <c r="P125" i="2" s="1"/>
  <c r="Q125" i="2" s="1"/>
  <c r="N124" i="2"/>
  <c r="O124" i="2" s="1"/>
  <c r="P124" i="2" s="1"/>
  <c r="L125" i="2"/>
  <c r="M125" i="2" s="1"/>
  <c r="O190" i="2"/>
  <c r="P190" i="2" s="1"/>
  <c r="L190" i="2"/>
  <c r="M190" i="2" s="1"/>
  <c r="N243" i="2"/>
  <c r="O243" i="2" s="1"/>
  <c r="P243" i="2" s="1"/>
  <c r="Q243" i="2" s="1"/>
  <c r="L243" i="2"/>
  <c r="M243" i="2" s="1"/>
  <c r="R243" i="2" s="1"/>
  <c r="L364" i="2"/>
  <c r="M364" i="2" s="1"/>
  <c r="L32" i="8"/>
  <c r="M32" i="8"/>
  <c r="O129" i="2"/>
  <c r="P129" i="2" s="1"/>
  <c r="Q129" i="2" s="1"/>
  <c r="L129" i="2"/>
  <c r="M129" i="2" s="1"/>
  <c r="L31" i="8"/>
  <c r="M31" i="8"/>
  <c r="O492" i="2"/>
  <c r="P492" i="2" s="1"/>
  <c r="Q492" i="2" s="1"/>
  <c r="L492" i="2"/>
  <c r="M492" i="2" s="1"/>
  <c r="O128" i="2"/>
  <c r="P128" i="2" s="1"/>
  <c r="Q128" i="2" s="1"/>
  <c r="L128" i="2"/>
  <c r="M128" i="2" s="1"/>
  <c r="O494" i="2"/>
  <c r="P494" i="2" s="1"/>
  <c r="Q494" i="2" s="1"/>
  <c r="L494" i="2"/>
  <c r="M494" i="2" s="1"/>
  <c r="R494" i="2" s="1"/>
  <c r="S494" i="2" s="1"/>
  <c r="O192" i="2"/>
  <c r="P192" i="2" s="1"/>
  <c r="Q192" i="2" s="1"/>
  <c r="L192" i="2"/>
  <c r="M192" i="2" s="1"/>
  <c r="O127" i="2"/>
  <c r="P127" i="2" s="1"/>
  <c r="Q127" i="2" s="1"/>
  <c r="L127" i="2"/>
  <c r="M127" i="2" s="1"/>
  <c r="O375" i="2"/>
  <c r="P375" i="2" s="1"/>
  <c r="Q375" i="2" s="1"/>
  <c r="L375" i="2"/>
  <c r="M375" i="2" s="1"/>
  <c r="R375" i="2" s="1"/>
  <c r="O478" i="2"/>
  <c r="P478" i="2" s="1"/>
  <c r="Q478" i="2" s="1"/>
  <c r="L478" i="2"/>
  <c r="M478" i="2" s="1"/>
  <c r="O371" i="2"/>
  <c r="P371" i="2" s="1"/>
  <c r="Q371" i="2" s="1"/>
  <c r="L371" i="2"/>
  <c r="M371" i="2" s="1"/>
  <c r="O126" i="2"/>
  <c r="P126" i="2" s="1"/>
  <c r="Q126" i="2" s="1"/>
  <c r="L126" i="2"/>
  <c r="M126" i="2" s="1"/>
  <c r="R126" i="2" s="1"/>
  <c r="S126" i="2" s="1"/>
  <c r="O475" i="5"/>
  <c r="P475" i="5" s="1"/>
  <c r="Q475" i="5" s="1"/>
  <c r="L475" i="5"/>
  <c r="M475" i="5" s="1"/>
  <c r="O645" i="5"/>
  <c r="P645" i="5" s="1"/>
  <c r="Q645" i="5" s="1"/>
  <c r="L645" i="5"/>
  <c r="M645" i="5" s="1"/>
  <c r="O474" i="5"/>
  <c r="P474" i="5" s="1"/>
  <c r="Q474" i="5" s="1"/>
  <c r="L474" i="5"/>
  <c r="M474" i="5" s="1"/>
  <c r="O569" i="5"/>
  <c r="P569" i="5" s="1"/>
  <c r="Q569" i="5" s="1"/>
  <c r="L569" i="5"/>
  <c r="M569" i="5" s="1"/>
  <c r="O644" i="5"/>
  <c r="P644" i="5" s="1"/>
  <c r="Q644" i="5" s="1"/>
  <c r="L644" i="5"/>
  <c r="M644" i="5" s="1"/>
  <c r="N460" i="2"/>
  <c r="O460" i="2" s="1"/>
  <c r="P460" i="2" s="1"/>
  <c r="Q460" i="2" s="1"/>
  <c r="L460" i="2"/>
  <c r="M460" i="2" s="1"/>
  <c r="O242" i="2"/>
  <c r="P242" i="2" s="1"/>
  <c r="Q242" i="2" s="1"/>
  <c r="L242" i="2"/>
  <c r="M242" i="2" s="1"/>
  <c r="L187" i="2"/>
  <c r="M187" i="2" s="1"/>
  <c r="L124" i="2"/>
  <c r="M124" i="2" s="1"/>
  <c r="L374" i="2"/>
  <c r="M374" i="2" s="1"/>
  <c r="O643" i="5"/>
  <c r="P643" i="5" s="1"/>
  <c r="Q643" i="5" s="1"/>
  <c r="L643" i="5"/>
  <c r="M643" i="5" s="1"/>
  <c r="O327" i="2"/>
  <c r="P327" i="2" s="1"/>
  <c r="Q327" i="2" s="1"/>
  <c r="L327" i="2"/>
  <c r="M327" i="2" s="1"/>
  <c r="R327" i="2" s="1"/>
  <c r="S327" i="2" s="1"/>
  <c r="O39" i="2"/>
  <c r="P39" i="2" s="1"/>
  <c r="Q39" i="2" s="1"/>
  <c r="L39" i="2"/>
  <c r="M39" i="2" s="1"/>
  <c r="R39" i="2" s="1"/>
  <c r="S39" i="2" s="1"/>
  <c r="T39" i="2" s="1"/>
  <c r="U39" i="2" s="1"/>
  <c r="L30" i="8"/>
  <c r="M30" i="8"/>
  <c r="N642" i="5"/>
  <c r="O642" i="5" s="1"/>
  <c r="P642" i="5" s="1"/>
  <c r="Q642" i="5" s="1"/>
  <c r="L642" i="5"/>
  <c r="M642" i="5" s="1"/>
  <c r="B642" i="5"/>
  <c r="O473" i="5"/>
  <c r="P473" i="5" s="1"/>
  <c r="Q473" i="5" s="1"/>
  <c r="L473" i="5"/>
  <c r="M473" i="5" s="1"/>
  <c r="O50" i="5"/>
  <c r="P50" i="5" s="1"/>
  <c r="Q50" i="5" s="1"/>
  <c r="O76" i="5"/>
  <c r="P76" i="5" s="1"/>
  <c r="Q76" i="5" s="1"/>
  <c r="L50" i="5"/>
  <c r="M50" i="5" s="1"/>
  <c r="L76" i="5"/>
  <c r="M76" i="5" s="1"/>
  <c r="N138" i="5"/>
  <c r="O138" i="5" s="1"/>
  <c r="P138" i="5" s="1"/>
  <c r="Q138" i="5" s="1"/>
  <c r="L138" i="5"/>
  <c r="M138" i="5" s="1"/>
  <c r="O347" i="2"/>
  <c r="P347" i="2" s="1"/>
  <c r="Q347" i="2" s="1"/>
  <c r="L347" i="2"/>
  <c r="M347" i="2" s="1"/>
  <c r="N568" i="5"/>
  <c r="O568" i="5" s="1"/>
  <c r="L568" i="5"/>
  <c r="M568" i="5" s="1"/>
  <c r="B568" i="5"/>
  <c r="O471" i="5"/>
  <c r="P471" i="5" s="1"/>
  <c r="Q471" i="5" s="1"/>
  <c r="N472" i="5"/>
  <c r="O472" i="5" s="1"/>
  <c r="P472" i="5" s="1"/>
  <c r="Q472" i="5" s="1"/>
  <c r="L472" i="5"/>
  <c r="M472" i="5" s="1"/>
  <c r="B472" i="5"/>
  <c r="L471" i="5"/>
  <c r="M471" i="5" s="1"/>
  <c r="O470" i="5"/>
  <c r="P470" i="5" s="1"/>
  <c r="Q470" i="5" s="1"/>
  <c r="L470" i="5"/>
  <c r="M470" i="5" s="1"/>
  <c r="N127" i="5"/>
  <c r="O127" i="5" s="1"/>
  <c r="P127" i="5" s="1"/>
  <c r="Q127" i="5" s="1"/>
  <c r="L127" i="5"/>
  <c r="M127" i="5" s="1"/>
  <c r="B127" i="5"/>
  <c r="O77" i="5"/>
  <c r="P77" i="5" s="1"/>
  <c r="Q77" i="5" s="1"/>
  <c r="L77" i="5"/>
  <c r="M77" i="5" s="1"/>
  <c r="L85" i="8"/>
  <c r="M85" i="8"/>
  <c r="O75" i="5"/>
  <c r="P75" i="5" s="1"/>
  <c r="Q75" i="5" s="1"/>
  <c r="L75" i="5"/>
  <c r="M75" i="5" s="1"/>
  <c r="O469" i="5"/>
  <c r="P469" i="5" s="1"/>
  <c r="Q469" i="5" s="1"/>
  <c r="L469" i="5"/>
  <c r="M469" i="5" s="1"/>
  <c r="L84" i="8"/>
  <c r="M84" i="8"/>
  <c r="N221" i="5"/>
  <c r="O221" i="5" s="1"/>
  <c r="P221" i="5" s="1"/>
  <c r="Q221" i="5" s="1"/>
  <c r="L221" i="5"/>
  <c r="M221" i="5" s="1"/>
  <c r="O567" i="5"/>
  <c r="P567" i="5" s="1"/>
  <c r="Q567" i="5" s="1"/>
  <c r="L567" i="5"/>
  <c r="M567" i="5" s="1"/>
  <c r="O468" i="5"/>
  <c r="P468" i="5" s="1"/>
  <c r="Q468" i="5" s="1"/>
  <c r="L468" i="5"/>
  <c r="M468" i="5" s="1"/>
  <c r="L83" i="8"/>
  <c r="M83" i="8" s="1"/>
  <c r="L139" i="8"/>
  <c r="M139" i="8"/>
  <c r="L137" i="8"/>
  <c r="M137" i="8" s="1"/>
  <c r="L136" i="8"/>
  <c r="M136" i="8"/>
  <c r="O634" i="5"/>
  <c r="P634" i="5" s="1"/>
  <c r="Q634" i="5" s="1"/>
  <c r="L634" i="5"/>
  <c r="M634" i="5" s="1"/>
  <c r="O638" i="5"/>
  <c r="P638" i="5" s="1"/>
  <c r="Q638" i="5" s="1"/>
  <c r="L638" i="5"/>
  <c r="M638" i="5" s="1"/>
  <c r="O637" i="5"/>
  <c r="P637" i="5" s="1"/>
  <c r="Q637" i="5" s="1"/>
  <c r="L637" i="5"/>
  <c r="M637" i="5" s="1"/>
  <c r="O633" i="5"/>
  <c r="P633" i="5" s="1"/>
  <c r="Q633" i="5" s="1"/>
  <c r="L633" i="5"/>
  <c r="M633" i="5" s="1"/>
  <c r="O632" i="5"/>
  <c r="P632" i="5" s="1"/>
  <c r="Q632" i="5" s="1"/>
  <c r="L632" i="5"/>
  <c r="M632" i="5" s="1"/>
  <c r="O1165" i="5"/>
  <c r="P1165" i="5" s="1"/>
  <c r="Q1165" i="5" s="1"/>
  <c r="L1165" i="5"/>
  <c r="M1165" i="5" s="1"/>
  <c r="O627" i="5"/>
  <c r="P627" i="5" s="1"/>
  <c r="Q627" i="5" s="1"/>
  <c r="L627" i="5"/>
  <c r="M627" i="5" s="1"/>
  <c r="O1164" i="5"/>
  <c r="P1164" i="5" s="1"/>
  <c r="Q1164" i="5" s="1"/>
  <c r="L1164" i="5"/>
  <c r="M1164" i="5" s="1"/>
  <c r="O625" i="5"/>
  <c r="P625" i="5" s="1"/>
  <c r="Q625" i="5" s="1"/>
  <c r="L625" i="5"/>
  <c r="M625" i="5" s="1"/>
  <c r="O624" i="5"/>
  <c r="P624" i="5" s="1"/>
  <c r="Q624" i="5" s="1"/>
  <c r="L624" i="5"/>
  <c r="M624" i="5" s="1"/>
  <c r="O1163" i="5"/>
  <c r="P1163" i="5" s="1"/>
  <c r="Q1163" i="5" s="1"/>
  <c r="L1163" i="5"/>
  <c r="M1163" i="5" s="1"/>
  <c r="O623" i="5"/>
  <c r="P623" i="5" s="1"/>
  <c r="Q623" i="5" s="1"/>
  <c r="L623" i="5"/>
  <c r="M623" i="5" s="1"/>
  <c r="O1162" i="5"/>
  <c r="P1162" i="5" s="1"/>
  <c r="Q1162" i="5" s="1"/>
  <c r="L1162" i="5"/>
  <c r="M1162" i="5" s="1"/>
  <c r="O619" i="5"/>
  <c r="P619" i="5" s="1"/>
  <c r="Q619" i="5" s="1"/>
  <c r="L619" i="5"/>
  <c r="M619" i="5" s="1"/>
  <c r="O1161" i="5"/>
  <c r="P1161" i="5" s="1"/>
  <c r="Q1161" i="5" s="1"/>
  <c r="L1161" i="5"/>
  <c r="M1161" i="5" s="1"/>
  <c r="O611" i="5"/>
  <c r="P611" i="5" s="1"/>
  <c r="Q611" i="5" s="1"/>
  <c r="L611" i="5"/>
  <c r="M611" i="5" s="1"/>
  <c r="O606" i="5"/>
  <c r="P606" i="5" s="1"/>
  <c r="Q606" i="5" s="1"/>
  <c r="L606" i="5"/>
  <c r="M606" i="5" s="1"/>
  <c r="O602" i="5"/>
  <c r="P602" i="5" s="1"/>
  <c r="Q602" i="5" s="1"/>
  <c r="L602" i="5"/>
  <c r="M602" i="5" s="1"/>
  <c r="O600" i="5"/>
  <c r="P600" i="5" s="1"/>
  <c r="Q600" i="5" s="1"/>
  <c r="L600" i="5"/>
  <c r="M600" i="5" s="1"/>
  <c r="O599" i="5"/>
  <c r="P599" i="5" s="1"/>
  <c r="Q599" i="5" s="1"/>
  <c r="L599" i="5"/>
  <c r="M599" i="5" s="1"/>
  <c r="O598" i="5"/>
  <c r="P598" i="5" s="1"/>
  <c r="Q598" i="5" s="1"/>
  <c r="L598" i="5"/>
  <c r="M598" i="5" s="1"/>
  <c r="O1235" i="5"/>
  <c r="P1235" i="5" s="1"/>
  <c r="Q1235" i="5" s="1"/>
  <c r="L1235" i="5"/>
  <c r="M1235" i="5" s="1"/>
  <c r="O1234" i="5"/>
  <c r="P1234" i="5" s="1"/>
  <c r="Q1234" i="5" s="1"/>
  <c r="L1234" i="5"/>
  <c r="M1234" i="5" s="1"/>
  <c r="O1233" i="5"/>
  <c r="P1233" i="5" s="1"/>
  <c r="Q1233" i="5" s="1"/>
  <c r="L1233" i="5"/>
  <c r="M1233" i="5" s="1"/>
  <c r="O1232" i="5"/>
  <c r="P1232" i="5" s="1"/>
  <c r="Q1232" i="5" s="1"/>
  <c r="L1232" i="5"/>
  <c r="M1232" i="5" s="1"/>
  <c r="N559" i="5"/>
  <c r="O559" i="5" s="1"/>
  <c r="P559" i="5" s="1"/>
  <c r="Q559" i="5" s="1"/>
  <c r="L559" i="5"/>
  <c r="M559" i="5" s="1"/>
  <c r="B559" i="5"/>
  <c r="O557" i="5"/>
  <c r="P557" i="5" s="1"/>
  <c r="Q557" i="5" s="1"/>
  <c r="L557" i="5"/>
  <c r="M557" i="5" s="1"/>
  <c r="O556" i="5"/>
  <c r="P556" i="5" s="1"/>
  <c r="Q556" i="5" s="1"/>
  <c r="L556" i="5"/>
  <c r="M556" i="5" s="1"/>
  <c r="O555" i="5"/>
  <c r="P555" i="5" s="1"/>
  <c r="Q555" i="5" s="1"/>
  <c r="L555" i="5"/>
  <c r="M555" i="5" s="1"/>
  <c r="O553" i="5"/>
  <c r="P553" i="5" s="1"/>
  <c r="Q553" i="5" s="1"/>
  <c r="L553" i="5"/>
  <c r="M553" i="5" s="1"/>
  <c r="O552" i="5"/>
  <c r="P552" i="5" s="1"/>
  <c r="Q552" i="5" s="1"/>
  <c r="L552" i="5"/>
  <c r="M552" i="5" s="1"/>
  <c r="O548" i="5"/>
  <c r="P548" i="5" s="1"/>
  <c r="Q548" i="5" s="1"/>
  <c r="L548" i="5"/>
  <c r="M548" i="5" s="1"/>
  <c r="O550" i="5"/>
  <c r="P550" i="5" s="1"/>
  <c r="Q550" i="5" s="1"/>
  <c r="L550" i="5"/>
  <c r="M550" i="5" s="1"/>
  <c r="O547" i="5"/>
  <c r="P547" i="5" s="1"/>
  <c r="Q547" i="5" s="1"/>
  <c r="L547" i="5"/>
  <c r="M547" i="5" s="1"/>
  <c r="O1246" i="5"/>
  <c r="P1246" i="5" s="1"/>
  <c r="Q1246" i="5" s="1"/>
  <c r="L1246" i="5"/>
  <c r="M1246" i="5" s="1"/>
  <c r="O534" i="5"/>
  <c r="P534" i="5" s="1"/>
  <c r="Q534" i="5" s="1"/>
  <c r="L534" i="5"/>
  <c r="M534" i="5" s="1"/>
  <c r="O1248" i="5"/>
  <c r="P1248" i="5" s="1"/>
  <c r="Q1248" i="5" s="1"/>
  <c r="L1248" i="5"/>
  <c r="M1248" i="5" s="1"/>
  <c r="O1157" i="5"/>
  <c r="P1157" i="5" s="1"/>
  <c r="Q1157" i="5" s="1"/>
  <c r="L1157" i="5"/>
  <c r="M1157" i="5" s="1"/>
  <c r="O1260" i="5"/>
  <c r="P1260" i="5" s="1"/>
  <c r="Q1260" i="5" s="1"/>
  <c r="L1260" i="5"/>
  <c r="M1260" i="5" s="1"/>
  <c r="O1259" i="5"/>
  <c r="P1259" i="5" s="1"/>
  <c r="Q1259" i="5" s="1"/>
  <c r="L1259" i="5"/>
  <c r="M1259" i="5" s="1"/>
  <c r="O533" i="5"/>
  <c r="P533" i="5" s="1"/>
  <c r="Q533" i="5" s="1"/>
  <c r="L533" i="5"/>
  <c r="M533" i="5" s="1"/>
  <c r="O1120" i="5"/>
  <c r="P1120" i="5" s="1"/>
  <c r="Q1120" i="5" s="1"/>
  <c r="L1120" i="5"/>
  <c r="M1120" i="5" s="1"/>
  <c r="O1261" i="5"/>
  <c r="P1261" i="5" s="1"/>
  <c r="Q1261" i="5" s="1"/>
  <c r="L1261" i="5"/>
  <c r="M1261" i="5" s="1"/>
  <c r="O1257" i="5"/>
  <c r="P1257" i="5" s="1"/>
  <c r="Q1257" i="5" s="1"/>
  <c r="L1257" i="5"/>
  <c r="M1257" i="5" s="1"/>
  <c r="O1256" i="5"/>
  <c r="P1256" i="5" s="1"/>
  <c r="Q1256" i="5" s="1"/>
  <c r="L1256" i="5"/>
  <c r="M1256" i="5" s="1"/>
  <c r="O1255" i="5"/>
  <c r="L1255" i="5"/>
  <c r="M1255" i="5" s="1"/>
  <c r="N455" i="5"/>
  <c r="O455" i="5" s="1"/>
  <c r="L455" i="5"/>
  <c r="M455" i="5" s="1"/>
  <c r="O453" i="5"/>
  <c r="P453" i="5" s="1"/>
  <c r="Q453" i="5" s="1"/>
  <c r="L453" i="5"/>
  <c r="M453" i="5" s="1"/>
  <c r="L1099" i="5"/>
  <c r="M1099" i="5" s="1"/>
  <c r="O450" i="5"/>
  <c r="P450" i="5" s="1"/>
  <c r="Q450" i="5" s="1"/>
  <c r="L450" i="5"/>
  <c r="M450" i="5" s="1"/>
  <c r="O449" i="5"/>
  <c r="P449" i="5" s="1"/>
  <c r="Q449" i="5" s="1"/>
  <c r="L449" i="5"/>
  <c r="M449" i="5" s="1"/>
  <c r="O448" i="5"/>
  <c r="P448" i="5" s="1"/>
  <c r="Q448" i="5" s="1"/>
  <c r="L448" i="5"/>
  <c r="M448" i="5" s="1"/>
  <c r="O1198" i="5"/>
  <c r="P1198" i="5" s="1"/>
  <c r="Q1198" i="5" s="1"/>
  <c r="L1198" i="5"/>
  <c r="M1198" i="5" s="1"/>
  <c r="O1097" i="5"/>
  <c r="P1097" i="5" s="1"/>
  <c r="Q1097" i="5" s="1"/>
  <c r="L1097" i="5"/>
  <c r="M1097" i="5" s="1"/>
  <c r="O1197" i="5"/>
  <c r="P1197" i="5" s="1"/>
  <c r="Q1197" i="5" s="1"/>
  <c r="L1197" i="5"/>
  <c r="M1197" i="5" s="1"/>
  <c r="O1193" i="5"/>
  <c r="P1193" i="5" s="1"/>
  <c r="Q1193" i="5" s="1"/>
  <c r="L1193" i="5"/>
  <c r="M1193" i="5" s="1"/>
  <c r="O1192" i="5"/>
  <c r="P1192" i="5" s="1"/>
  <c r="Q1192" i="5" s="1"/>
  <c r="L1192" i="5"/>
  <c r="M1192" i="5" s="1"/>
  <c r="O1191" i="5"/>
  <c r="P1191" i="5" s="1"/>
  <c r="Q1191" i="5" s="1"/>
  <c r="L1191" i="5"/>
  <c r="M1191" i="5" s="1"/>
  <c r="O1190" i="5"/>
  <c r="P1190" i="5" s="1"/>
  <c r="Q1190" i="5" s="1"/>
  <c r="L1190" i="5"/>
  <c r="M1190" i="5" s="1"/>
  <c r="O1189" i="5"/>
  <c r="P1189" i="5" s="1"/>
  <c r="Q1189" i="5" s="1"/>
  <c r="L1189" i="5"/>
  <c r="M1189" i="5" s="1"/>
  <c r="O1187" i="5"/>
  <c r="P1187" i="5" s="1"/>
  <c r="Q1187" i="5" s="1"/>
  <c r="L1187" i="5"/>
  <c r="M1187" i="5" s="1"/>
  <c r="O1119" i="5"/>
  <c r="P1119" i="5" s="1"/>
  <c r="Q1119" i="5" s="1"/>
  <c r="L1119" i="5"/>
  <c r="M1119" i="5" s="1"/>
  <c r="O442" i="5"/>
  <c r="P442" i="5" s="1"/>
  <c r="Q442" i="5" s="1"/>
  <c r="L442" i="5"/>
  <c r="M442" i="5" s="1"/>
  <c r="O426" i="5"/>
  <c r="P426" i="5" s="1"/>
  <c r="Q426" i="5" s="1"/>
  <c r="L426" i="5"/>
  <c r="M426" i="5" s="1"/>
  <c r="O422" i="5"/>
  <c r="P422" i="5" s="1"/>
  <c r="Q422" i="5" s="1"/>
  <c r="L422" i="5"/>
  <c r="M422" i="5" s="1"/>
  <c r="O421" i="5"/>
  <c r="P421" i="5" s="1"/>
  <c r="Q421" i="5" s="1"/>
  <c r="L421" i="5"/>
  <c r="M421" i="5" s="1"/>
  <c r="O1176" i="5"/>
  <c r="P1176" i="5" s="1"/>
  <c r="Q1176" i="5" s="1"/>
  <c r="L1176" i="5"/>
  <c r="M1176" i="5" s="1"/>
  <c r="O405" i="5"/>
  <c r="P405" i="5" s="1"/>
  <c r="Q405" i="5" s="1"/>
  <c r="L405" i="5"/>
  <c r="M405" i="5" s="1"/>
  <c r="O1150" i="5"/>
  <c r="P1150" i="5" s="1"/>
  <c r="Q1150" i="5" s="1"/>
  <c r="L1150" i="5"/>
  <c r="M1150" i="5" s="1"/>
  <c r="O1149" i="5"/>
  <c r="P1149" i="5" s="1"/>
  <c r="Q1149" i="5" s="1"/>
  <c r="L1149" i="5"/>
  <c r="M1149" i="5" s="1"/>
  <c r="O1144" i="5"/>
  <c r="P1144" i="5" s="1"/>
  <c r="Q1144" i="5" s="1"/>
  <c r="L1144" i="5"/>
  <c r="M1144" i="5" s="1"/>
  <c r="O1143" i="5"/>
  <c r="P1143" i="5" s="1"/>
  <c r="Q1143" i="5" s="1"/>
  <c r="L1143" i="5"/>
  <c r="M1143" i="5" s="1"/>
  <c r="O1175" i="5"/>
  <c r="P1175" i="5" s="1"/>
  <c r="Q1175" i="5" s="1"/>
  <c r="L1175" i="5"/>
  <c r="M1175" i="5" s="1"/>
  <c r="O1174" i="5"/>
  <c r="P1174" i="5" s="1"/>
  <c r="Q1174" i="5" s="1"/>
  <c r="L1174" i="5"/>
  <c r="M1174" i="5" s="1"/>
  <c r="O1173" i="5"/>
  <c r="L1173" i="5"/>
  <c r="M1173" i="5" s="1"/>
  <c r="O1136" i="5"/>
  <c r="P1136" i="5" s="1"/>
  <c r="Q1136" i="5" s="1"/>
  <c r="L1136" i="5"/>
  <c r="M1136" i="5" s="1"/>
  <c r="O1135" i="5"/>
  <c r="P1135" i="5" s="1"/>
  <c r="Q1135" i="5" s="1"/>
  <c r="L1135" i="5"/>
  <c r="M1135" i="5" s="1"/>
  <c r="O1129" i="5"/>
  <c r="P1129" i="5" s="1"/>
  <c r="Q1129" i="5" s="1"/>
  <c r="L1129" i="5"/>
  <c r="M1129" i="5" s="1"/>
  <c r="N723" i="5"/>
  <c r="B53" i="12" s="1"/>
  <c r="O721" i="5"/>
  <c r="P721" i="5" s="1"/>
  <c r="Q721" i="5" s="1"/>
  <c r="L721" i="5"/>
  <c r="M721" i="5" s="1"/>
  <c r="O720" i="5"/>
  <c r="P720" i="5" s="1"/>
  <c r="L720" i="5"/>
  <c r="M720" i="5" s="1"/>
  <c r="O719" i="5"/>
  <c r="P719" i="5" s="1"/>
  <c r="Q719" i="5" s="1"/>
  <c r="L719" i="5"/>
  <c r="M719" i="5" s="1"/>
  <c r="O718" i="5"/>
  <c r="P718" i="5" s="1"/>
  <c r="L718" i="5"/>
  <c r="M718" i="5" s="1"/>
  <c r="O717" i="5"/>
  <c r="P717" i="5" s="1"/>
  <c r="Q717" i="5" s="1"/>
  <c r="L717" i="5"/>
  <c r="M717" i="5" s="1"/>
  <c r="O716" i="5"/>
  <c r="P716" i="5" s="1"/>
  <c r="Q716" i="5" s="1"/>
  <c r="L716" i="5"/>
  <c r="M716" i="5" s="1"/>
  <c r="O715" i="5"/>
  <c r="P715" i="5" s="1"/>
  <c r="Q715" i="5" s="1"/>
  <c r="L715" i="5"/>
  <c r="M715" i="5" s="1"/>
  <c r="O714" i="5"/>
  <c r="L714" i="5"/>
  <c r="M714" i="5" s="1"/>
  <c r="O713" i="5"/>
  <c r="L713" i="5"/>
  <c r="M713" i="5" s="1"/>
  <c r="O1004" i="5"/>
  <c r="P1004" i="5" s="1"/>
  <c r="Q1004" i="5" s="1"/>
  <c r="L1004" i="5"/>
  <c r="M1004" i="5" s="1"/>
  <c r="O981" i="5"/>
  <c r="P981" i="5" s="1"/>
  <c r="Q981" i="5" s="1"/>
  <c r="L981" i="5"/>
  <c r="M981" i="5" s="1"/>
  <c r="O338" i="5"/>
  <c r="P338" i="5" s="1"/>
  <c r="Q338" i="5" s="1"/>
  <c r="L338" i="5"/>
  <c r="M338" i="5" s="1"/>
  <c r="O333" i="5"/>
  <c r="P333" i="5" s="1"/>
  <c r="Q333" i="5" s="1"/>
  <c r="L333" i="5"/>
  <c r="M333" i="5" s="1"/>
  <c r="O332" i="5"/>
  <c r="P332" i="5" s="1"/>
  <c r="Q332" i="5" s="1"/>
  <c r="L332" i="5"/>
  <c r="M332" i="5" s="1"/>
  <c r="O331" i="5"/>
  <c r="P331" i="5" s="1"/>
  <c r="Q331" i="5" s="1"/>
  <c r="L331" i="5"/>
  <c r="M331" i="5" s="1"/>
  <c r="O330" i="5"/>
  <c r="P330" i="5" s="1"/>
  <c r="Q330" i="5" s="1"/>
  <c r="L330" i="5"/>
  <c r="M330" i="5" s="1"/>
  <c r="N329" i="5"/>
  <c r="O329" i="5" s="1"/>
  <c r="P329" i="5" s="1"/>
  <c r="Q329" i="5" s="1"/>
  <c r="L329" i="5"/>
  <c r="M329" i="5" s="1"/>
  <c r="O327" i="5"/>
  <c r="P327" i="5" s="1"/>
  <c r="Q327" i="5" s="1"/>
  <c r="L327" i="5"/>
  <c r="M327" i="5" s="1"/>
  <c r="O325" i="5"/>
  <c r="P325" i="5" s="1"/>
  <c r="Q325" i="5" s="1"/>
  <c r="L325" i="5"/>
  <c r="M325" i="5" s="1"/>
  <c r="O324" i="5"/>
  <c r="P324" i="5" s="1"/>
  <c r="Q324" i="5" s="1"/>
  <c r="L324" i="5"/>
  <c r="M324" i="5" s="1"/>
  <c r="O321" i="5"/>
  <c r="P321" i="5" s="1"/>
  <c r="Q321" i="5" s="1"/>
  <c r="L321" i="5"/>
  <c r="M321" i="5" s="1"/>
  <c r="O320" i="5"/>
  <c r="P320" i="5" s="1"/>
  <c r="Q320" i="5" s="1"/>
  <c r="L320" i="5"/>
  <c r="M320" i="5" s="1"/>
  <c r="O313" i="5"/>
  <c r="P313" i="5" s="1"/>
  <c r="Q313" i="5" s="1"/>
  <c r="L313" i="5"/>
  <c r="M313" i="5" s="1"/>
  <c r="O312" i="5"/>
  <c r="P312" i="5" s="1"/>
  <c r="Q312" i="5" s="1"/>
  <c r="L312" i="5"/>
  <c r="M312" i="5" s="1"/>
  <c r="O311" i="5"/>
  <c r="P311" i="5" s="1"/>
  <c r="Q311" i="5" s="1"/>
  <c r="L311" i="5"/>
  <c r="M311" i="5" s="1"/>
  <c r="O310" i="5"/>
  <c r="P310" i="5" s="1"/>
  <c r="Q310" i="5" s="1"/>
  <c r="L310" i="5"/>
  <c r="M310" i="5" s="1"/>
  <c r="O309" i="5"/>
  <c r="P309" i="5" s="1"/>
  <c r="Q309" i="5" s="1"/>
  <c r="L309" i="5"/>
  <c r="M309" i="5" s="1"/>
  <c r="O307" i="5"/>
  <c r="P307" i="5" s="1"/>
  <c r="Q307" i="5" s="1"/>
  <c r="L307" i="5"/>
  <c r="M307" i="5" s="1"/>
  <c r="O306" i="5"/>
  <c r="P306" i="5" s="1"/>
  <c r="Q306" i="5" s="1"/>
  <c r="L306" i="5"/>
  <c r="M306" i="5" s="1"/>
  <c r="O305" i="5"/>
  <c r="P305" i="5" s="1"/>
  <c r="Q305" i="5" s="1"/>
  <c r="L305" i="5"/>
  <c r="M305" i="5" s="1"/>
  <c r="O302" i="5"/>
  <c r="P302" i="5" s="1"/>
  <c r="Q302" i="5" s="1"/>
  <c r="L302" i="5"/>
  <c r="M302" i="5" s="1"/>
  <c r="O301" i="5"/>
  <c r="P301" i="5" s="1"/>
  <c r="Q301" i="5" s="1"/>
  <c r="L301" i="5"/>
  <c r="M301" i="5" s="1"/>
  <c r="O300" i="5"/>
  <c r="P300" i="5" s="1"/>
  <c r="Q300" i="5" s="1"/>
  <c r="L300" i="5"/>
  <c r="M300" i="5" s="1"/>
  <c r="O299" i="5"/>
  <c r="P299" i="5" s="1"/>
  <c r="Q299" i="5" s="1"/>
  <c r="L299" i="5"/>
  <c r="M299" i="5" s="1"/>
  <c r="O297" i="5"/>
  <c r="P297" i="5" s="1"/>
  <c r="Q297" i="5" s="1"/>
  <c r="L297" i="5"/>
  <c r="M297" i="5" s="1"/>
  <c r="O296" i="5"/>
  <c r="P296" i="5" s="1"/>
  <c r="Q296" i="5" s="1"/>
  <c r="L296" i="5"/>
  <c r="M296" i="5" s="1"/>
  <c r="O295" i="5"/>
  <c r="P295" i="5" s="1"/>
  <c r="Q295" i="5" s="1"/>
  <c r="L295" i="5"/>
  <c r="M295" i="5" s="1"/>
  <c r="O293" i="5"/>
  <c r="P293" i="5" s="1"/>
  <c r="Q293" i="5" s="1"/>
  <c r="L293" i="5"/>
  <c r="M293" i="5" s="1"/>
  <c r="O292" i="5"/>
  <c r="P292" i="5" s="1"/>
  <c r="Q292" i="5" s="1"/>
  <c r="L292" i="5"/>
  <c r="M292" i="5" s="1"/>
  <c r="O290" i="5"/>
  <c r="P290" i="5" s="1"/>
  <c r="Q290" i="5" s="1"/>
  <c r="L290" i="5"/>
  <c r="M290" i="5" s="1"/>
  <c r="O289" i="5"/>
  <c r="P289" i="5" s="1"/>
  <c r="Q289" i="5" s="1"/>
  <c r="L289" i="5"/>
  <c r="M289" i="5" s="1"/>
  <c r="O288" i="5"/>
  <c r="P288" i="5" s="1"/>
  <c r="Q288" i="5" s="1"/>
  <c r="L288" i="5"/>
  <c r="M288" i="5" s="1"/>
  <c r="O287" i="5"/>
  <c r="P287" i="5" s="1"/>
  <c r="Q287" i="5" s="1"/>
  <c r="L287" i="5"/>
  <c r="M287" i="5" s="1"/>
  <c r="O286" i="5"/>
  <c r="P286" i="5" s="1"/>
  <c r="Q286" i="5" s="1"/>
  <c r="L286" i="5"/>
  <c r="M286" i="5" s="1"/>
  <c r="O285" i="5"/>
  <c r="P285" i="5" s="1"/>
  <c r="Q285" i="5" s="1"/>
  <c r="L285" i="5"/>
  <c r="M285" i="5" s="1"/>
  <c r="O282" i="5"/>
  <c r="P282" i="5" s="1"/>
  <c r="Q282" i="5" s="1"/>
  <c r="L282" i="5"/>
  <c r="M282" i="5" s="1"/>
  <c r="O1114" i="5"/>
  <c r="P1114" i="5" s="1"/>
  <c r="Q1114" i="5" s="1"/>
  <c r="L1114" i="5"/>
  <c r="M1114" i="5" s="1"/>
  <c r="O1113" i="5"/>
  <c r="P1113" i="5" s="1"/>
  <c r="Q1113" i="5" s="1"/>
  <c r="L1113" i="5"/>
  <c r="M1113" i="5" s="1"/>
  <c r="O280" i="5"/>
  <c r="P280" i="5" s="1"/>
  <c r="Q280" i="5" s="1"/>
  <c r="L280" i="5"/>
  <c r="M280" i="5" s="1"/>
  <c r="O1112" i="5"/>
  <c r="P1112" i="5" s="1"/>
  <c r="Q1112" i="5" s="1"/>
  <c r="L1112" i="5"/>
  <c r="M1112" i="5" s="1"/>
  <c r="O1111" i="5"/>
  <c r="P1111" i="5" s="1"/>
  <c r="Q1111" i="5" s="1"/>
  <c r="L1111" i="5"/>
  <c r="M1111" i="5" s="1"/>
  <c r="O1110" i="5"/>
  <c r="P1110" i="5" s="1"/>
  <c r="Q1110" i="5" s="1"/>
  <c r="L1110" i="5"/>
  <c r="M1110" i="5" s="1"/>
  <c r="O1109" i="5"/>
  <c r="P1109" i="5" s="1"/>
  <c r="Q1109" i="5" s="1"/>
  <c r="L1109" i="5"/>
  <c r="M1109" i="5" s="1"/>
  <c r="O278" i="5"/>
  <c r="P278" i="5" s="1"/>
  <c r="Q278" i="5" s="1"/>
  <c r="L278" i="5"/>
  <c r="M278" i="5" s="1"/>
  <c r="O1107" i="5"/>
  <c r="P1107" i="5" s="1"/>
  <c r="Q1107" i="5" s="1"/>
  <c r="L1107" i="5"/>
  <c r="M1107" i="5" s="1"/>
  <c r="O277" i="5"/>
  <c r="P277" i="5" s="1"/>
  <c r="Q277" i="5" s="1"/>
  <c r="L277" i="5"/>
  <c r="M277" i="5" s="1"/>
  <c r="O1106" i="5"/>
  <c r="P1106" i="5" s="1"/>
  <c r="Q1106" i="5" s="1"/>
  <c r="L1106" i="5"/>
  <c r="M1106" i="5" s="1"/>
  <c r="O1105" i="5"/>
  <c r="P1105" i="5" s="1"/>
  <c r="Q1105" i="5" s="1"/>
  <c r="L1105" i="5"/>
  <c r="M1105" i="5" s="1"/>
  <c r="O1104" i="5"/>
  <c r="P1104" i="5" s="1"/>
  <c r="Q1104" i="5" s="1"/>
  <c r="L1104" i="5"/>
  <c r="M1104" i="5" s="1"/>
  <c r="O276" i="5"/>
  <c r="P276" i="5" s="1"/>
  <c r="Q276" i="5" s="1"/>
  <c r="L276" i="5"/>
  <c r="M276" i="5" s="1"/>
  <c r="O275" i="5"/>
  <c r="P275" i="5" s="1"/>
  <c r="Q275" i="5" s="1"/>
  <c r="L275" i="5"/>
  <c r="M275" i="5" s="1"/>
  <c r="O1103" i="5"/>
  <c r="P1103" i="5" s="1"/>
  <c r="Q1103" i="5" s="1"/>
  <c r="L1103" i="5"/>
  <c r="M1103" i="5" s="1"/>
  <c r="O274" i="5"/>
  <c r="P274" i="5" s="1"/>
  <c r="Q274" i="5" s="1"/>
  <c r="L274" i="5"/>
  <c r="M274" i="5" s="1"/>
  <c r="O273" i="5"/>
  <c r="P273" i="5" s="1"/>
  <c r="Q273" i="5" s="1"/>
  <c r="L273" i="5"/>
  <c r="M273" i="5" s="1"/>
  <c r="O272" i="5"/>
  <c r="P272" i="5" s="1"/>
  <c r="Q272" i="5" s="1"/>
  <c r="L272" i="5"/>
  <c r="M272" i="5" s="1"/>
  <c r="O271" i="5"/>
  <c r="P271" i="5" s="1"/>
  <c r="Q271" i="5" s="1"/>
  <c r="L271" i="5"/>
  <c r="M271" i="5" s="1"/>
  <c r="O270" i="5"/>
  <c r="P270" i="5" s="1"/>
  <c r="Q270" i="5" s="1"/>
  <c r="L270" i="5"/>
  <c r="M270" i="5" s="1"/>
  <c r="O269" i="5"/>
  <c r="P269" i="5" s="1"/>
  <c r="Q269" i="5" s="1"/>
  <c r="L269" i="5"/>
  <c r="M269" i="5" s="1"/>
  <c r="O268" i="5"/>
  <c r="P268" i="5" s="1"/>
  <c r="Q268" i="5" s="1"/>
  <c r="L268" i="5"/>
  <c r="M268" i="5" s="1"/>
  <c r="O267" i="5"/>
  <c r="P267" i="5" s="1"/>
  <c r="Q267" i="5" s="1"/>
  <c r="L267" i="5"/>
  <c r="M267" i="5" s="1"/>
  <c r="O266" i="5"/>
  <c r="P266" i="5" s="1"/>
  <c r="Q266" i="5" s="1"/>
  <c r="L266" i="5"/>
  <c r="M266" i="5" s="1"/>
  <c r="O265" i="5"/>
  <c r="P265" i="5" s="1"/>
  <c r="Q265" i="5" s="1"/>
  <c r="L265" i="5"/>
  <c r="M265" i="5" s="1"/>
  <c r="O264" i="5"/>
  <c r="P264" i="5" s="1"/>
  <c r="Q264" i="5" s="1"/>
  <c r="L264" i="5"/>
  <c r="M264" i="5" s="1"/>
  <c r="O263" i="5"/>
  <c r="P263" i="5" s="1"/>
  <c r="Q263" i="5" s="1"/>
  <c r="L263" i="5"/>
  <c r="M263" i="5" s="1"/>
  <c r="O262" i="5"/>
  <c r="P262" i="5" s="1"/>
  <c r="Q262" i="5" s="1"/>
  <c r="L262" i="5"/>
  <c r="M262" i="5" s="1"/>
  <c r="O261" i="5"/>
  <c r="P261" i="5" s="1"/>
  <c r="Q261" i="5" s="1"/>
  <c r="L261" i="5"/>
  <c r="M261" i="5" s="1"/>
  <c r="O260" i="5"/>
  <c r="P260" i="5" s="1"/>
  <c r="Q260" i="5" s="1"/>
  <c r="L260" i="5"/>
  <c r="M260" i="5" s="1"/>
  <c r="O259" i="5"/>
  <c r="P259" i="5" s="1"/>
  <c r="Q259" i="5" s="1"/>
  <c r="L259" i="5"/>
  <c r="M259" i="5" s="1"/>
  <c r="O258" i="5"/>
  <c r="P258" i="5" s="1"/>
  <c r="Q258" i="5" s="1"/>
  <c r="L258" i="5"/>
  <c r="M258" i="5" s="1"/>
  <c r="O257" i="5"/>
  <c r="P257" i="5" s="1"/>
  <c r="Q257" i="5" s="1"/>
  <c r="L257" i="5"/>
  <c r="M257" i="5" s="1"/>
  <c r="O256" i="5"/>
  <c r="P256" i="5" s="1"/>
  <c r="Q256" i="5" s="1"/>
  <c r="L256" i="5"/>
  <c r="M256" i="5" s="1"/>
  <c r="O255" i="5"/>
  <c r="P255" i="5" s="1"/>
  <c r="Q255" i="5" s="1"/>
  <c r="L255" i="5"/>
  <c r="M255" i="5" s="1"/>
  <c r="O254" i="5"/>
  <c r="P254" i="5" s="1"/>
  <c r="Q254" i="5" s="1"/>
  <c r="L254" i="5"/>
  <c r="M254" i="5" s="1"/>
  <c r="O253" i="5"/>
  <c r="P253" i="5" s="1"/>
  <c r="Q253" i="5" s="1"/>
  <c r="L253" i="5"/>
  <c r="M253" i="5" s="1"/>
  <c r="O252" i="5"/>
  <c r="P252" i="5" s="1"/>
  <c r="Q252" i="5" s="1"/>
  <c r="L252" i="5"/>
  <c r="M252" i="5" s="1"/>
  <c r="O251" i="5"/>
  <c r="P251" i="5" s="1"/>
  <c r="Q251" i="5" s="1"/>
  <c r="L251" i="5"/>
  <c r="M251" i="5" s="1"/>
  <c r="O250" i="5"/>
  <c r="P250" i="5" s="1"/>
  <c r="Q250" i="5" s="1"/>
  <c r="L250" i="5"/>
  <c r="M250" i="5" s="1"/>
  <c r="O1093" i="5"/>
  <c r="P1093" i="5" s="1"/>
  <c r="Q1093" i="5" s="1"/>
  <c r="L1093" i="5"/>
  <c r="M1093" i="5" s="1"/>
  <c r="O1092" i="5"/>
  <c r="P1092" i="5" s="1"/>
  <c r="Q1092" i="5" s="1"/>
  <c r="L1092" i="5"/>
  <c r="M1092" i="5" s="1"/>
  <c r="O1090" i="5"/>
  <c r="P1090" i="5" s="1"/>
  <c r="Q1090" i="5" s="1"/>
  <c r="L1090" i="5"/>
  <c r="M1090" i="5" s="1"/>
  <c r="O1089" i="5"/>
  <c r="P1089" i="5" s="1"/>
  <c r="Q1089" i="5" s="1"/>
  <c r="L1089" i="5"/>
  <c r="M1089" i="5" s="1"/>
  <c r="O1088" i="5"/>
  <c r="P1088" i="5" s="1"/>
  <c r="Q1088" i="5" s="1"/>
  <c r="L1088" i="5"/>
  <c r="M1088" i="5" s="1"/>
  <c r="O1087" i="5"/>
  <c r="P1087" i="5" s="1"/>
  <c r="Q1087" i="5" s="1"/>
  <c r="L1087" i="5"/>
  <c r="M1087" i="5" s="1"/>
  <c r="O1086" i="5"/>
  <c r="P1086" i="5" s="1"/>
  <c r="Q1086" i="5" s="1"/>
  <c r="L1086" i="5"/>
  <c r="M1086" i="5" s="1"/>
  <c r="O1085" i="5"/>
  <c r="P1085" i="5" s="1"/>
  <c r="Q1085" i="5" s="1"/>
  <c r="L1085" i="5"/>
  <c r="M1085" i="5" s="1"/>
  <c r="O1084" i="5"/>
  <c r="P1084" i="5" s="1"/>
  <c r="Q1084" i="5" s="1"/>
  <c r="L1084" i="5"/>
  <c r="M1084" i="5" s="1"/>
  <c r="O1083" i="5"/>
  <c r="P1083" i="5" s="1"/>
  <c r="Q1083" i="5" s="1"/>
  <c r="L1083" i="5"/>
  <c r="M1083" i="5" s="1"/>
  <c r="O1082" i="5"/>
  <c r="P1082" i="5" s="1"/>
  <c r="Q1082" i="5" s="1"/>
  <c r="L1082" i="5"/>
  <c r="M1082" i="5" s="1"/>
  <c r="O1081" i="5"/>
  <c r="P1081" i="5" s="1"/>
  <c r="Q1081" i="5" s="1"/>
  <c r="L1081" i="5"/>
  <c r="M1081" i="5" s="1"/>
  <c r="O1080" i="5"/>
  <c r="P1080" i="5" s="1"/>
  <c r="Q1080" i="5" s="1"/>
  <c r="L1080" i="5"/>
  <c r="M1080" i="5" s="1"/>
  <c r="O1079" i="5"/>
  <c r="P1079" i="5" s="1"/>
  <c r="Q1079" i="5" s="1"/>
  <c r="L1079" i="5"/>
  <c r="M1079" i="5" s="1"/>
  <c r="O1078" i="5"/>
  <c r="P1078" i="5" s="1"/>
  <c r="Q1078" i="5" s="1"/>
  <c r="L1078" i="5"/>
  <c r="M1078" i="5" s="1"/>
  <c r="O1077" i="5"/>
  <c r="P1077" i="5" s="1"/>
  <c r="Q1077" i="5" s="1"/>
  <c r="L1077" i="5"/>
  <c r="M1077" i="5" s="1"/>
  <c r="O1076" i="5"/>
  <c r="P1076" i="5" s="1"/>
  <c r="Q1076" i="5" s="1"/>
  <c r="L1076" i="5"/>
  <c r="M1076" i="5" s="1"/>
  <c r="O1075" i="5"/>
  <c r="P1075" i="5" s="1"/>
  <c r="Q1075" i="5" s="1"/>
  <c r="L1075" i="5"/>
  <c r="M1075" i="5" s="1"/>
  <c r="O1074" i="5"/>
  <c r="P1074" i="5" s="1"/>
  <c r="Q1074" i="5" s="1"/>
  <c r="L1074" i="5"/>
  <c r="M1074" i="5" s="1"/>
  <c r="O249" i="5"/>
  <c r="P249" i="5" s="1"/>
  <c r="Q249" i="5" s="1"/>
  <c r="L249" i="5"/>
  <c r="M249" i="5" s="1"/>
  <c r="O1073" i="5"/>
  <c r="P1073" i="5" s="1"/>
  <c r="Q1073" i="5" s="1"/>
  <c r="L1073" i="5"/>
  <c r="M1073" i="5" s="1"/>
  <c r="O1072" i="5"/>
  <c r="P1072" i="5" s="1"/>
  <c r="Q1072" i="5" s="1"/>
  <c r="L1072" i="5"/>
  <c r="M1072" i="5" s="1"/>
  <c r="O1071" i="5"/>
  <c r="P1071" i="5" s="1"/>
  <c r="Q1071" i="5" s="1"/>
  <c r="L1071" i="5"/>
  <c r="M1071" i="5" s="1"/>
  <c r="O1070" i="5"/>
  <c r="P1070" i="5" s="1"/>
  <c r="Q1070" i="5" s="1"/>
  <c r="L1070" i="5"/>
  <c r="M1070" i="5" s="1"/>
  <c r="O1069" i="5"/>
  <c r="P1069" i="5" s="1"/>
  <c r="Q1069" i="5" s="1"/>
  <c r="L1069" i="5"/>
  <c r="M1069" i="5" s="1"/>
  <c r="O1068" i="5"/>
  <c r="P1068" i="5" s="1"/>
  <c r="Q1068" i="5" s="1"/>
  <c r="L1068" i="5"/>
  <c r="M1068" i="5" s="1"/>
  <c r="O1067" i="5"/>
  <c r="P1067" i="5" s="1"/>
  <c r="Q1067" i="5" s="1"/>
  <c r="L1067" i="5"/>
  <c r="M1067" i="5" s="1"/>
  <c r="O248" i="5"/>
  <c r="P248" i="5" s="1"/>
  <c r="Q248" i="5" s="1"/>
  <c r="L248" i="5"/>
  <c r="M248" i="5" s="1"/>
  <c r="O1066" i="5"/>
  <c r="P1066" i="5" s="1"/>
  <c r="Q1066" i="5" s="1"/>
  <c r="L1066" i="5"/>
  <c r="M1066" i="5" s="1"/>
  <c r="O1065" i="5"/>
  <c r="P1065" i="5" s="1"/>
  <c r="Q1065" i="5" s="1"/>
  <c r="L1065" i="5"/>
  <c r="M1065" i="5" s="1"/>
  <c r="O1064" i="5"/>
  <c r="P1064" i="5" s="1"/>
  <c r="Q1064" i="5" s="1"/>
  <c r="L1064" i="5"/>
  <c r="M1064" i="5" s="1"/>
  <c r="O1063" i="5"/>
  <c r="P1063" i="5" s="1"/>
  <c r="Q1063" i="5" s="1"/>
  <c r="L1063" i="5"/>
  <c r="M1063" i="5" s="1"/>
  <c r="O1062" i="5"/>
  <c r="P1062" i="5" s="1"/>
  <c r="Q1062" i="5" s="1"/>
  <c r="L1062" i="5"/>
  <c r="M1062" i="5" s="1"/>
  <c r="O1061" i="5"/>
  <c r="P1061" i="5" s="1"/>
  <c r="Q1061" i="5" s="1"/>
  <c r="L1061" i="5"/>
  <c r="M1061" i="5" s="1"/>
  <c r="O1060" i="5"/>
  <c r="P1060" i="5" s="1"/>
  <c r="Q1060" i="5" s="1"/>
  <c r="L1060" i="5"/>
  <c r="M1060" i="5" s="1"/>
  <c r="O1059" i="5"/>
  <c r="P1059" i="5" s="1"/>
  <c r="Q1059" i="5" s="1"/>
  <c r="L1059" i="5"/>
  <c r="M1059" i="5" s="1"/>
  <c r="O1058" i="5"/>
  <c r="P1058" i="5" s="1"/>
  <c r="Q1058" i="5" s="1"/>
  <c r="L1058" i="5"/>
  <c r="M1058" i="5" s="1"/>
  <c r="O1057" i="5"/>
  <c r="P1057" i="5" s="1"/>
  <c r="Q1057" i="5" s="1"/>
  <c r="L1057" i="5"/>
  <c r="M1057" i="5" s="1"/>
  <c r="O1056" i="5"/>
  <c r="P1056" i="5" s="1"/>
  <c r="Q1056" i="5" s="1"/>
  <c r="L1056" i="5"/>
  <c r="M1056" i="5" s="1"/>
  <c r="O1055" i="5"/>
  <c r="P1055" i="5" s="1"/>
  <c r="Q1055" i="5" s="1"/>
  <c r="L1055" i="5"/>
  <c r="M1055" i="5" s="1"/>
  <c r="O1054" i="5"/>
  <c r="P1054" i="5" s="1"/>
  <c r="Q1054" i="5" s="1"/>
  <c r="L1054" i="5"/>
  <c r="M1054" i="5" s="1"/>
  <c r="O1052" i="5"/>
  <c r="P1052" i="5" s="1"/>
  <c r="Q1052" i="5" s="1"/>
  <c r="L1052" i="5"/>
  <c r="M1052" i="5" s="1"/>
  <c r="O1049" i="5"/>
  <c r="P1049" i="5" s="1"/>
  <c r="Q1049" i="5" s="1"/>
  <c r="L1049" i="5"/>
  <c r="M1049" i="5" s="1"/>
  <c r="O243" i="5"/>
  <c r="P243" i="5" s="1"/>
  <c r="Q243" i="5" s="1"/>
  <c r="L243" i="5"/>
  <c r="M243" i="5" s="1"/>
  <c r="O1043" i="5"/>
  <c r="P1043" i="5" s="1"/>
  <c r="Q1043" i="5" s="1"/>
  <c r="L1043" i="5"/>
  <c r="M1043" i="5" s="1"/>
  <c r="O1037" i="5"/>
  <c r="P1037" i="5" s="1"/>
  <c r="Q1037" i="5" s="1"/>
  <c r="L1037" i="5"/>
  <c r="M1037" i="5" s="1"/>
  <c r="O1035" i="5"/>
  <c r="P1035" i="5" s="1"/>
  <c r="Q1035" i="5" s="1"/>
  <c r="L1035" i="5"/>
  <c r="M1035" i="5" s="1"/>
  <c r="O1034" i="5"/>
  <c r="P1034" i="5" s="1"/>
  <c r="Q1034" i="5" s="1"/>
  <c r="L1034" i="5"/>
  <c r="M1034" i="5" s="1"/>
  <c r="O1033" i="5"/>
  <c r="P1033" i="5" s="1"/>
  <c r="Q1033" i="5" s="1"/>
  <c r="L1033" i="5"/>
  <c r="M1033" i="5" s="1"/>
  <c r="O238" i="5"/>
  <c r="P238" i="5" s="1"/>
  <c r="Q238" i="5" s="1"/>
  <c r="L238" i="5"/>
  <c r="M238" i="5" s="1"/>
  <c r="O1032" i="5"/>
  <c r="P1032" i="5" s="1"/>
  <c r="Q1032" i="5" s="1"/>
  <c r="L1032" i="5"/>
  <c r="M1032" i="5" s="1"/>
  <c r="O1031" i="5"/>
  <c r="P1031" i="5" s="1"/>
  <c r="Q1031" i="5" s="1"/>
  <c r="L1031" i="5"/>
  <c r="M1031" i="5" s="1"/>
  <c r="O1030" i="5"/>
  <c r="P1030" i="5" s="1"/>
  <c r="Q1030" i="5" s="1"/>
  <c r="L1030" i="5"/>
  <c r="M1030" i="5" s="1"/>
  <c r="O1029" i="5"/>
  <c r="P1029" i="5" s="1"/>
  <c r="Q1029" i="5" s="1"/>
  <c r="L1029" i="5"/>
  <c r="M1029" i="5" s="1"/>
  <c r="O1028" i="5"/>
  <c r="P1028" i="5" s="1"/>
  <c r="Q1028" i="5" s="1"/>
  <c r="L1028" i="5"/>
  <c r="M1028" i="5" s="1"/>
  <c r="O1027" i="5"/>
  <c r="P1027" i="5" s="1"/>
  <c r="Q1027" i="5" s="1"/>
  <c r="L1027" i="5"/>
  <c r="M1027" i="5" s="1"/>
  <c r="O1026" i="5"/>
  <c r="P1026" i="5" s="1"/>
  <c r="Q1026" i="5" s="1"/>
  <c r="L1026" i="5"/>
  <c r="M1026" i="5" s="1"/>
  <c r="O1025" i="5"/>
  <c r="P1025" i="5" s="1"/>
  <c r="Q1025" i="5" s="1"/>
  <c r="L1025" i="5"/>
  <c r="M1025" i="5" s="1"/>
  <c r="O1024" i="5"/>
  <c r="P1024" i="5" s="1"/>
  <c r="Q1024" i="5" s="1"/>
  <c r="L1024" i="5"/>
  <c r="M1024" i="5" s="1"/>
  <c r="O1023" i="5"/>
  <c r="P1023" i="5" s="1"/>
  <c r="Q1023" i="5" s="1"/>
  <c r="L1023" i="5"/>
  <c r="M1023" i="5" s="1"/>
  <c r="O1022" i="5"/>
  <c r="P1022" i="5" s="1"/>
  <c r="Q1022" i="5" s="1"/>
  <c r="L1022" i="5"/>
  <c r="M1022" i="5" s="1"/>
  <c r="O1021" i="5"/>
  <c r="P1021" i="5" s="1"/>
  <c r="Q1021" i="5" s="1"/>
  <c r="L1021" i="5"/>
  <c r="M1021" i="5" s="1"/>
  <c r="O1020" i="5"/>
  <c r="P1020" i="5" s="1"/>
  <c r="Q1020" i="5" s="1"/>
  <c r="L1020" i="5"/>
  <c r="M1020" i="5" s="1"/>
  <c r="O1019" i="5"/>
  <c r="P1019" i="5" s="1"/>
  <c r="Q1019" i="5" s="1"/>
  <c r="L1019" i="5"/>
  <c r="M1019" i="5" s="1"/>
  <c r="O1018" i="5"/>
  <c r="P1018" i="5" s="1"/>
  <c r="Q1018" i="5" s="1"/>
  <c r="L1018" i="5"/>
  <c r="M1018" i="5" s="1"/>
  <c r="O1017" i="5"/>
  <c r="P1017" i="5" s="1"/>
  <c r="Q1017" i="5" s="1"/>
  <c r="L1017" i="5"/>
  <c r="M1017" i="5" s="1"/>
  <c r="O1016" i="5"/>
  <c r="P1016" i="5" s="1"/>
  <c r="L1016" i="5"/>
  <c r="M1016" i="5" s="1"/>
  <c r="N708" i="5"/>
  <c r="O708" i="5" s="1"/>
  <c r="L708" i="5"/>
  <c r="M708" i="5" s="1"/>
  <c r="O706" i="5"/>
  <c r="P706" i="5" s="1"/>
  <c r="Q706" i="5" s="1"/>
  <c r="L706" i="5"/>
  <c r="M706" i="5" s="1"/>
  <c r="O705" i="5"/>
  <c r="P705" i="5" s="1"/>
  <c r="Q705" i="5" s="1"/>
  <c r="L705" i="5"/>
  <c r="M705" i="5" s="1"/>
  <c r="O704" i="5"/>
  <c r="P704" i="5" s="1"/>
  <c r="Q704" i="5" s="1"/>
  <c r="L704" i="5"/>
  <c r="M704" i="5" s="1"/>
  <c r="O703" i="5"/>
  <c r="P703" i="5" s="1"/>
  <c r="Q703" i="5" s="1"/>
  <c r="L703" i="5"/>
  <c r="M703" i="5" s="1"/>
  <c r="O702" i="5"/>
  <c r="P702" i="5" s="1"/>
  <c r="Q702" i="5" s="1"/>
  <c r="L702" i="5"/>
  <c r="M702" i="5" s="1"/>
  <c r="O701" i="5"/>
  <c r="P701" i="5" s="1"/>
  <c r="Q701" i="5" s="1"/>
  <c r="L701" i="5"/>
  <c r="M701" i="5" s="1"/>
  <c r="O700" i="5"/>
  <c r="P700" i="5" s="1"/>
  <c r="Q700" i="5" s="1"/>
  <c r="L700" i="5"/>
  <c r="M700" i="5" s="1"/>
  <c r="O699" i="5"/>
  <c r="P699" i="5" s="1"/>
  <c r="Q699" i="5" s="1"/>
  <c r="L699" i="5"/>
  <c r="M699" i="5" s="1"/>
  <c r="O698" i="5"/>
  <c r="P698" i="5" s="1"/>
  <c r="Q698" i="5" s="1"/>
  <c r="L698" i="5"/>
  <c r="M698" i="5" s="1"/>
  <c r="O697" i="5"/>
  <c r="P697" i="5" s="1"/>
  <c r="Q697" i="5" s="1"/>
  <c r="L697" i="5"/>
  <c r="M697" i="5" s="1"/>
  <c r="O696" i="5"/>
  <c r="P696" i="5" s="1"/>
  <c r="Q696" i="5" s="1"/>
  <c r="L696" i="5"/>
  <c r="M696" i="5" s="1"/>
  <c r="O695" i="5"/>
  <c r="P695" i="5" s="1"/>
  <c r="Q695" i="5" s="1"/>
  <c r="L695" i="5"/>
  <c r="M695" i="5" s="1"/>
  <c r="O694" i="5"/>
  <c r="P694" i="5" s="1"/>
  <c r="Q694" i="5" s="1"/>
  <c r="L694" i="5"/>
  <c r="M694" i="5" s="1"/>
  <c r="O693" i="5"/>
  <c r="P693" i="5" s="1"/>
  <c r="Q693" i="5" s="1"/>
  <c r="L693" i="5"/>
  <c r="M693" i="5" s="1"/>
  <c r="O692" i="5"/>
  <c r="P692" i="5" s="1"/>
  <c r="Q692" i="5" s="1"/>
  <c r="L692" i="5"/>
  <c r="M692" i="5" s="1"/>
  <c r="O691" i="5"/>
  <c r="P691" i="5" s="1"/>
  <c r="Q691" i="5" s="1"/>
  <c r="L691" i="5"/>
  <c r="M691" i="5" s="1"/>
  <c r="O690" i="5"/>
  <c r="P690" i="5" s="1"/>
  <c r="Q690" i="5" s="1"/>
  <c r="L690" i="5"/>
  <c r="M690" i="5" s="1"/>
  <c r="O689" i="5"/>
  <c r="P689" i="5" s="1"/>
  <c r="Q689" i="5" s="1"/>
  <c r="L689" i="5"/>
  <c r="M689" i="5" s="1"/>
  <c r="O688" i="5"/>
  <c r="P688" i="5" s="1"/>
  <c r="Q688" i="5" s="1"/>
  <c r="L688" i="5"/>
  <c r="M688" i="5" s="1"/>
  <c r="O687" i="5"/>
  <c r="P687" i="5" s="1"/>
  <c r="Q687" i="5" s="1"/>
  <c r="L687" i="5"/>
  <c r="M687" i="5" s="1"/>
  <c r="N686" i="5"/>
  <c r="L686" i="5"/>
  <c r="M686" i="5" s="1"/>
  <c r="O685" i="5"/>
  <c r="P685" i="5" s="1"/>
  <c r="Q685" i="5" s="1"/>
  <c r="L685" i="5"/>
  <c r="M685" i="5" s="1"/>
  <c r="O684" i="5"/>
  <c r="P684" i="5" s="1"/>
  <c r="Q684" i="5" s="1"/>
  <c r="L684" i="5"/>
  <c r="M684" i="5" s="1"/>
  <c r="O683" i="5"/>
  <c r="P683" i="5" s="1"/>
  <c r="Q683" i="5" s="1"/>
  <c r="L683" i="5"/>
  <c r="M683" i="5" s="1"/>
  <c r="O682" i="5"/>
  <c r="P682" i="5" s="1"/>
  <c r="Q682" i="5" s="1"/>
  <c r="L682" i="5"/>
  <c r="M682" i="5" s="1"/>
  <c r="O681" i="5"/>
  <c r="P681" i="5" s="1"/>
  <c r="Q681" i="5" s="1"/>
  <c r="L681" i="5"/>
  <c r="M681" i="5" s="1"/>
  <c r="O680" i="5"/>
  <c r="P680" i="5" s="1"/>
  <c r="Q680" i="5" s="1"/>
  <c r="L680" i="5"/>
  <c r="M680" i="5" s="1"/>
  <c r="O679" i="5"/>
  <c r="P679" i="5" s="1"/>
  <c r="Q679" i="5" s="1"/>
  <c r="L679" i="5"/>
  <c r="M679" i="5" s="1"/>
  <c r="O678" i="5"/>
  <c r="P678" i="5" s="1"/>
  <c r="Q678" i="5" s="1"/>
  <c r="L678" i="5"/>
  <c r="M678" i="5" s="1"/>
  <c r="O677" i="5"/>
  <c r="L677" i="5"/>
  <c r="M677" i="5" s="1"/>
  <c r="O116" i="5"/>
  <c r="P116" i="5" s="1"/>
  <c r="Q116" i="5" s="1"/>
  <c r="L116" i="5"/>
  <c r="M116" i="5" s="1"/>
  <c r="O20" i="5"/>
  <c r="P20" i="5" s="1"/>
  <c r="Q20" i="5" s="1"/>
  <c r="L20" i="5"/>
  <c r="M20" i="5" s="1"/>
  <c r="O21" i="5"/>
  <c r="P21" i="5" s="1"/>
  <c r="Q21" i="5" s="1"/>
  <c r="L21" i="5"/>
  <c r="M21" i="5" s="1"/>
  <c r="O38" i="5"/>
  <c r="P38" i="5" s="1"/>
  <c r="Q38" i="5" s="1"/>
  <c r="L38" i="5"/>
  <c r="M38" i="5" s="1"/>
  <c r="O166" i="5"/>
  <c r="P166" i="5" s="1"/>
  <c r="Q166" i="5" s="1"/>
  <c r="L166" i="5"/>
  <c r="M166" i="5" s="1"/>
  <c r="O214" i="5"/>
  <c r="P214" i="5" s="1"/>
  <c r="Q214" i="5" s="1"/>
  <c r="L214" i="5"/>
  <c r="M214" i="5" s="1"/>
  <c r="O39" i="5"/>
  <c r="P39" i="5" s="1"/>
  <c r="L39" i="5"/>
  <c r="M39" i="5" s="1"/>
  <c r="N198" i="5"/>
  <c r="O198" i="5" s="1"/>
  <c r="P198" i="5" s="1"/>
  <c r="Q198" i="5" s="1"/>
  <c r="L198" i="5"/>
  <c r="M198" i="5" s="1"/>
  <c r="N129" i="5"/>
  <c r="O129" i="5" s="1"/>
  <c r="P129" i="5" s="1"/>
  <c r="Q129" i="5" s="1"/>
  <c r="L129" i="5"/>
  <c r="M129" i="5" s="1"/>
  <c r="O176" i="5"/>
  <c r="P176" i="5" s="1"/>
  <c r="Q176" i="5" s="1"/>
  <c r="L176" i="5"/>
  <c r="M176" i="5" s="1"/>
  <c r="O164" i="5"/>
  <c r="P164" i="5" s="1"/>
  <c r="L164" i="5"/>
  <c r="M164" i="5" s="1"/>
  <c r="O707" i="5"/>
  <c r="P707" i="5" s="1"/>
  <c r="Q707" i="5" s="1"/>
  <c r="L707" i="5"/>
  <c r="M707" i="5" s="1"/>
  <c r="O141" i="5"/>
  <c r="P141" i="5" s="1"/>
  <c r="L141" i="5"/>
  <c r="M141" i="5" s="1"/>
  <c r="O128" i="5"/>
  <c r="P128" i="5" s="1"/>
  <c r="Q128" i="5" s="1"/>
  <c r="L128" i="5"/>
  <c r="M128" i="5" s="1"/>
  <c r="O46" i="5"/>
  <c r="P46" i="5" s="1"/>
  <c r="Q46" i="5" s="1"/>
  <c r="L46" i="5"/>
  <c r="M46" i="5" s="1"/>
  <c r="O19" i="5"/>
  <c r="P19" i="5" s="1"/>
  <c r="Q19" i="5" s="1"/>
  <c r="L19" i="5"/>
  <c r="M19" i="5" s="1"/>
  <c r="O161" i="5"/>
  <c r="P161" i="5" s="1"/>
  <c r="Q161" i="5" s="1"/>
  <c r="L161" i="5"/>
  <c r="M161" i="5" s="1"/>
  <c r="O160" i="5"/>
  <c r="P160" i="5" s="1"/>
  <c r="Q160" i="5" s="1"/>
  <c r="L160" i="5"/>
  <c r="M160" i="5" s="1"/>
  <c r="O159" i="5"/>
  <c r="P159" i="5" s="1"/>
  <c r="L159" i="5"/>
  <c r="M159" i="5" s="1"/>
  <c r="O157" i="5"/>
  <c r="P157" i="5" s="1"/>
  <c r="Q157" i="5" s="1"/>
  <c r="L157" i="5"/>
  <c r="M157" i="5" s="1"/>
  <c r="O63" i="5"/>
  <c r="P63" i="5" s="1"/>
  <c r="L63" i="5"/>
  <c r="M63" i="5" s="1"/>
  <c r="O974" i="5"/>
  <c r="P974" i="5" s="1"/>
  <c r="Q974" i="5" s="1"/>
  <c r="L974" i="5"/>
  <c r="M974" i="5" s="1"/>
  <c r="O966" i="5"/>
  <c r="P966" i="5" s="1"/>
  <c r="Q966" i="5" s="1"/>
  <c r="L966" i="5"/>
  <c r="M966" i="5" s="1"/>
  <c r="O195" i="5"/>
  <c r="P195" i="5" s="1"/>
  <c r="Q195" i="5" s="1"/>
  <c r="L195" i="5"/>
  <c r="M195" i="5" s="1"/>
  <c r="O190" i="5"/>
  <c r="P190" i="5" s="1"/>
  <c r="Q190" i="5" s="1"/>
  <c r="L190" i="5"/>
  <c r="M190" i="5" s="1"/>
  <c r="O133" i="5"/>
  <c r="P133" i="5" s="1"/>
  <c r="Q133" i="5" s="1"/>
  <c r="L133" i="5"/>
  <c r="M133" i="5" s="1"/>
  <c r="O215" i="5"/>
  <c r="P215" i="5" s="1"/>
  <c r="Q215" i="5" s="1"/>
  <c r="L215" i="5"/>
  <c r="M215" i="5" s="1"/>
  <c r="O216" i="5"/>
  <c r="P216" i="5" s="1"/>
  <c r="Q216" i="5" s="1"/>
  <c r="L216" i="5"/>
  <c r="M216" i="5" s="1"/>
  <c r="O975" i="5"/>
  <c r="P975" i="5" s="1"/>
  <c r="Q975" i="5" s="1"/>
  <c r="L975" i="5"/>
  <c r="M975" i="5" s="1"/>
  <c r="O22" i="5"/>
  <c r="P22" i="5" s="1"/>
  <c r="Q22" i="5" s="1"/>
  <c r="L22" i="5"/>
  <c r="M22" i="5" s="1"/>
  <c r="O957" i="5"/>
  <c r="P957" i="5" s="1"/>
  <c r="Q957" i="5" s="1"/>
  <c r="L957" i="5"/>
  <c r="M957" i="5" s="1"/>
  <c r="O950" i="5"/>
  <c r="P950" i="5" s="1"/>
  <c r="Q950" i="5" s="1"/>
  <c r="L950" i="5"/>
  <c r="M950" i="5" s="1"/>
  <c r="O961" i="5"/>
  <c r="P961" i="5" s="1"/>
  <c r="Q961" i="5" s="1"/>
  <c r="L961" i="5"/>
  <c r="M961" i="5" s="1"/>
  <c r="O960" i="5"/>
  <c r="P960" i="5" s="1"/>
  <c r="Q960" i="5" s="1"/>
  <c r="L960" i="5"/>
  <c r="M960" i="5" s="1"/>
  <c r="O90" i="5"/>
  <c r="P90" i="5" s="1"/>
  <c r="Q90" i="5" s="1"/>
  <c r="L90" i="5"/>
  <c r="M90" i="5" s="1"/>
  <c r="O91" i="5"/>
  <c r="P91" i="5" s="1"/>
  <c r="Q91" i="5" s="1"/>
  <c r="L91" i="5"/>
  <c r="M91" i="5" s="1"/>
  <c r="O949" i="5"/>
  <c r="P949" i="5" s="1"/>
  <c r="Q949" i="5" s="1"/>
  <c r="L949" i="5"/>
  <c r="M949" i="5" s="1"/>
  <c r="O965" i="5"/>
  <c r="P965" i="5" s="1"/>
  <c r="Q965" i="5" s="1"/>
  <c r="L965" i="5"/>
  <c r="M965" i="5" s="1"/>
  <c r="O971" i="5"/>
  <c r="P971" i="5" s="1"/>
  <c r="Q971" i="5" s="1"/>
  <c r="L971" i="5"/>
  <c r="M971" i="5" s="1"/>
  <c r="O947" i="5"/>
  <c r="P947" i="5" s="1"/>
  <c r="Q947" i="5" s="1"/>
  <c r="L947" i="5"/>
  <c r="M947" i="5" s="1"/>
  <c r="O948" i="5"/>
  <c r="P948" i="5" s="1"/>
  <c r="Q948" i="5" s="1"/>
  <c r="L948" i="5"/>
  <c r="M948" i="5" s="1"/>
  <c r="O80" i="5"/>
  <c r="P80" i="5" s="1"/>
  <c r="Q80" i="5" s="1"/>
  <c r="L80" i="5"/>
  <c r="M80" i="5" s="1"/>
  <c r="O83" i="5"/>
  <c r="P83" i="5" s="1"/>
  <c r="Q83" i="5" s="1"/>
  <c r="L83" i="5"/>
  <c r="M83" i="5" s="1"/>
  <c r="O140" i="5"/>
  <c r="P140" i="5" s="1"/>
  <c r="Q140" i="5" s="1"/>
  <c r="L140" i="5"/>
  <c r="M140" i="5" s="1"/>
  <c r="O107" i="5"/>
  <c r="P107" i="5" s="1"/>
  <c r="Q107" i="5" s="1"/>
  <c r="L107" i="5"/>
  <c r="M107" i="5" s="1"/>
  <c r="O92" i="5"/>
  <c r="P92" i="5" s="1"/>
  <c r="Q92" i="5" s="1"/>
  <c r="L92" i="5"/>
  <c r="M92" i="5" s="1"/>
  <c r="O191" i="5"/>
  <c r="P191" i="5" s="1"/>
  <c r="Q191" i="5" s="1"/>
  <c r="L191" i="5"/>
  <c r="M191" i="5" s="1"/>
  <c r="O955" i="5"/>
  <c r="P955" i="5" s="1"/>
  <c r="Q955" i="5" s="1"/>
  <c r="L955" i="5"/>
  <c r="M955" i="5" s="1"/>
  <c r="O973" i="5"/>
  <c r="P973" i="5" s="1"/>
  <c r="Q973" i="5" s="1"/>
  <c r="L973" i="5"/>
  <c r="M973" i="5" s="1"/>
  <c r="O958" i="5"/>
  <c r="P958" i="5" s="1"/>
  <c r="Q958" i="5" s="1"/>
  <c r="L958" i="5"/>
  <c r="M958" i="5" s="1"/>
  <c r="O192" i="5"/>
  <c r="P192" i="5" s="1"/>
  <c r="Q192" i="5" s="1"/>
  <c r="L192" i="5"/>
  <c r="M192" i="5" s="1"/>
  <c r="O972" i="5"/>
  <c r="P972" i="5" s="1"/>
  <c r="Q972" i="5" s="1"/>
  <c r="L972" i="5"/>
  <c r="M972" i="5" s="1"/>
  <c r="O205" i="5"/>
  <c r="P205" i="5" s="1"/>
  <c r="Q205" i="5" s="1"/>
  <c r="L205" i="5"/>
  <c r="M205" i="5" s="1"/>
  <c r="O68" i="5"/>
  <c r="P68" i="5" s="1"/>
  <c r="Q68" i="5" s="1"/>
  <c r="L68" i="5"/>
  <c r="M68" i="5" s="1"/>
  <c r="O953" i="5"/>
  <c r="P953" i="5" s="1"/>
  <c r="Q953" i="5" s="1"/>
  <c r="L953" i="5"/>
  <c r="M953" i="5" s="1"/>
  <c r="O143" i="5"/>
  <c r="P143" i="5" s="1"/>
  <c r="Q143" i="5" s="1"/>
  <c r="L143" i="5"/>
  <c r="M143" i="5" s="1"/>
  <c r="O969" i="5"/>
  <c r="P969" i="5" s="1"/>
  <c r="Q969" i="5" s="1"/>
  <c r="L969" i="5"/>
  <c r="M969" i="5" s="1"/>
  <c r="O87" i="5"/>
  <c r="P87" i="5" s="1"/>
  <c r="Q87" i="5" s="1"/>
  <c r="L87" i="5"/>
  <c r="M87" i="5" s="1"/>
  <c r="O954" i="5"/>
  <c r="P954" i="5" s="1"/>
  <c r="Q954" i="5" s="1"/>
  <c r="L954" i="5"/>
  <c r="M954" i="5" s="1"/>
  <c r="O200" i="5"/>
  <c r="P200" i="5" s="1"/>
  <c r="Q200" i="5" s="1"/>
  <c r="L200" i="5"/>
  <c r="M200" i="5" s="1"/>
  <c r="O88" i="5"/>
  <c r="P88" i="5" s="1"/>
  <c r="Q88" i="5" s="1"/>
  <c r="L88" i="5"/>
  <c r="M88" i="5" s="1"/>
  <c r="O89" i="5"/>
  <c r="P89" i="5" s="1"/>
  <c r="Q89" i="5" s="1"/>
  <c r="L89" i="5"/>
  <c r="M89" i="5" s="1"/>
  <c r="O69" i="5"/>
  <c r="P69" i="5" s="1"/>
  <c r="Q69" i="5" s="1"/>
  <c r="L69" i="5"/>
  <c r="M69" i="5" s="1"/>
  <c r="O31" i="5"/>
  <c r="P31" i="5" s="1"/>
  <c r="Q31" i="5" s="1"/>
  <c r="L31" i="5"/>
  <c r="M31" i="5" s="1"/>
  <c r="O30" i="5"/>
  <c r="P30" i="5" s="1"/>
  <c r="Q30" i="5" s="1"/>
  <c r="L30" i="5"/>
  <c r="M30" i="5" s="1"/>
  <c r="O202" i="5"/>
  <c r="P202" i="5" s="1"/>
  <c r="Q202" i="5" s="1"/>
  <c r="L202" i="5"/>
  <c r="M202" i="5" s="1"/>
  <c r="O25" i="5"/>
  <c r="P25" i="5" s="1"/>
  <c r="Q25" i="5" s="1"/>
  <c r="L25" i="5"/>
  <c r="M25" i="5" s="1"/>
  <c r="O24" i="5"/>
  <c r="P24" i="5" s="1"/>
  <c r="Q24" i="5" s="1"/>
  <c r="L24" i="5"/>
  <c r="M24" i="5" s="1"/>
  <c r="O952" i="5"/>
  <c r="P952" i="5" s="1"/>
  <c r="Q952" i="5" s="1"/>
  <c r="L952" i="5"/>
  <c r="M952" i="5" s="1"/>
  <c r="O207" i="5"/>
  <c r="P207" i="5" s="1"/>
  <c r="Q207" i="5" s="1"/>
  <c r="L207" i="5"/>
  <c r="M207" i="5" s="1"/>
  <c r="O206" i="5"/>
  <c r="P206" i="5" s="1"/>
  <c r="Q206" i="5" s="1"/>
  <c r="L206" i="5"/>
  <c r="M206" i="5" s="1"/>
  <c r="O79" i="5"/>
  <c r="P79" i="5" s="1"/>
  <c r="Q79" i="5" s="1"/>
  <c r="L79" i="5"/>
  <c r="M79" i="5" s="1"/>
  <c r="O914" i="5"/>
  <c r="P914" i="5" s="1"/>
  <c r="Q914" i="5" s="1"/>
  <c r="L914" i="5"/>
  <c r="M914" i="5" s="1"/>
  <c r="O970" i="5"/>
  <c r="P970" i="5" s="1"/>
  <c r="Q970" i="5" s="1"/>
  <c r="L970" i="5"/>
  <c r="M970" i="5" s="1"/>
  <c r="O968" i="5"/>
  <c r="P968" i="5" s="1"/>
  <c r="Q968" i="5" s="1"/>
  <c r="L968" i="5"/>
  <c r="M968" i="5" s="1"/>
  <c r="O913" i="5"/>
  <c r="P913" i="5" s="1"/>
  <c r="Q913" i="5" s="1"/>
  <c r="L913" i="5"/>
  <c r="M913" i="5" s="1"/>
  <c r="O906" i="5"/>
  <c r="P906" i="5" s="1"/>
  <c r="Q906" i="5" s="1"/>
  <c r="L906" i="5"/>
  <c r="M906" i="5" s="1"/>
  <c r="O81" i="5"/>
  <c r="P81" i="5" s="1"/>
  <c r="Q81" i="5" s="1"/>
  <c r="L81" i="5"/>
  <c r="M81" i="5" s="1"/>
  <c r="O82" i="5"/>
  <c r="P82" i="5" s="1"/>
  <c r="Q82" i="5" s="1"/>
  <c r="L82" i="5"/>
  <c r="M82" i="5" s="1"/>
  <c r="O909" i="5"/>
  <c r="P909" i="5" s="1"/>
  <c r="Q909" i="5" s="1"/>
  <c r="L909" i="5"/>
  <c r="M909" i="5" s="1"/>
  <c r="O967" i="5"/>
  <c r="P967" i="5" s="1"/>
  <c r="Q967" i="5" s="1"/>
  <c r="L967" i="5"/>
  <c r="M967" i="5" s="1"/>
  <c r="O86" i="5"/>
  <c r="P86" i="5" s="1"/>
  <c r="Q86" i="5" s="1"/>
  <c r="L86" i="5"/>
  <c r="M86" i="5" s="1"/>
  <c r="O904" i="5"/>
  <c r="P904" i="5" s="1"/>
  <c r="Q904" i="5" s="1"/>
  <c r="L904" i="5"/>
  <c r="M904" i="5" s="1"/>
  <c r="O78" i="5"/>
  <c r="P78" i="5" s="1"/>
  <c r="Q78" i="5" s="1"/>
  <c r="L78" i="5"/>
  <c r="M78" i="5" s="1"/>
  <c r="O193" i="5"/>
  <c r="P193" i="5" s="1"/>
  <c r="Q193" i="5" s="1"/>
  <c r="L193" i="5"/>
  <c r="M193" i="5" s="1"/>
  <c r="O910" i="5"/>
  <c r="P910" i="5" s="1"/>
  <c r="Q910" i="5" s="1"/>
  <c r="L910" i="5"/>
  <c r="M910" i="5" s="1"/>
  <c r="O886" i="5"/>
  <c r="P886" i="5" s="1"/>
  <c r="Q886" i="5" s="1"/>
  <c r="L886" i="5"/>
  <c r="M886" i="5" s="1"/>
  <c r="O890" i="5"/>
  <c r="P890" i="5" s="1"/>
  <c r="Q890" i="5" s="1"/>
  <c r="L890" i="5"/>
  <c r="M890" i="5" s="1"/>
  <c r="O912" i="5"/>
  <c r="P912" i="5" s="1"/>
  <c r="Q912" i="5" s="1"/>
  <c r="L912" i="5"/>
  <c r="M912" i="5" s="1"/>
  <c r="O907" i="5"/>
  <c r="P907" i="5" s="1"/>
  <c r="Q907" i="5" s="1"/>
  <c r="L907" i="5"/>
  <c r="M907" i="5" s="1"/>
  <c r="O908" i="5"/>
  <c r="P908" i="5" s="1"/>
  <c r="Q908" i="5" s="1"/>
  <c r="L908" i="5"/>
  <c r="M908" i="5" s="1"/>
  <c r="O885" i="5"/>
  <c r="P885" i="5" s="1"/>
  <c r="Q885" i="5" s="1"/>
  <c r="L885" i="5"/>
  <c r="M885" i="5" s="1"/>
  <c r="O889" i="5"/>
  <c r="P889" i="5" s="1"/>
  <c r="Q889" i="5" s="1"/>
  <c r="L889" i="5"/>
  <c r="M889" i="5" s="1"/>
  <c r="O897" i="5"/>
  <c r="P897" i="5" s="1"/>
  <c r="Q897" i="5" s="1"/>
  <c r="L897" i="5"/>
  <c r="M897" i="5" s="1"/>
  <c r="O84" i="5"/>
  <c r="P84" i="5" s="1"/>
  <c r="Q84" i="5" s="1"/>
  <c r="L84" i="5"/>
  <c r="M84" i="5" s="1"/>
  <c r="O85" i="5"/>
  <c r="P85" i="5" s="1"/>
  <c r="Q85" i="5" s="1"/>
  <c r="L85" i="5"/>
  <c r="M85" i="5" s="1"/>
  <c r="O52" i="5"/>
  <c r="P52" i="5" s="1"/>
  <c r="Q52" i="5" s="1"/>
  <c r="L52" i="5"/>
  <c r="M52" i="5" s="1"/>
  <c r="O884" i="5"/>
  <c r="P884" i="5" s="1"/>
  <c r="Q884" i="5" s="1"/>
  <c r="L884" i="5"/>
  <c r="M884" i="5" s="1"/>
  <c r="O888" i="5"/>
  <c r="P888" i="5" s="1"/>
  <c r="Q888" i="5" s="1"/>
  <c r="L888" i="5"/>
  <c r="M888" i="5" s="1"/>
  <c r="O28" i="5"/>
  <c r="P28" i="5" s="1"/>
  <c r="Q28" i="5" s="1"/>
  <c r="L28" i="5"/>
  <c r="M28" i="5" s="1"/>
  <c r="O887" i="5"/>
  <c r="P887" i="5" s="1"/>
  <c r="Q887" i="5" s="1"/>
  <c r="L887" i="5"/>
  <c r="M887" i="5" s="1"/>
  <c r="O23" i="5"/>
  <c r="P23" i="5" s="1"/>
  <c r="Q23" i="5" s="1"/>
  <c r="L23" i="5"/>
  <c r="M23" i="5" s="1"/>
  <c r="O29" i="5"/>
  <c r="P29" i="5" s="1"/>
  <c r="Q29" i="5" s="1"/>
  <c r="L29" i="5"/>
  <c r="M29" i="5" s="1"/>
  <c r="O911" i="5"/>
  <c r="P911" i="5" s="1"/>
  <c r="Q911" i="5" s="1"/>
  <c r="L911" i="5"/>
  <c r="M911" i="5" s="1"/>
  <c r="O71" i="5"/>
  <c r="P71" i="5" s="1"/>
  <c r="Q71" i="5" s="1"/>
  <c r="L71" i="5"/>
  <c r="M71" i="5" s="1"/>
  <c r="O70" i="5"/>
  <c r="P70" i="5" s="1"/>
  <c r="Q70" i="5" s="1"/>
  <c r="L70" i="5"/>
  <c r="M70" i="5" s="1"/>
  <c r="O324" i="2"/>
  <c r="P324" i="2" s="1"/>
  <c r="Q324" i="2" s="1"/>
  <c r="O320" i="2"/>
  <c r="P320" i="2" s="1"/>
  <c r="Q320" i="2" s="1"/>
  <c r="O319" i="2"/>
  <c r="P319" i="2" s="1"/>
  <c r="Q319" i="2" s="1"/>
  <c r="O318" i="2"/>
  <c r="P318" i="2" s="1"/>
  <c r="Q318" i="2" s="1"/>
  <c r="O317" i="2"/>
  <c r="P317" i="2" s="1"/>
  <c r="Q317" i="2" s="1"/>
  <c r="O428" i="2"/>
  <c r="P428" i="2" s="1"/>
  <c r="Q428" i="2" s="1"/>
  <c r="O285" i="2"/>
  <c r="P285" i="2" s="1"/>
  <c r="Q285" i="2" s="1"/>
  <c r="O284" i="2"/>
  <c r="P284" i="2" s="1"/>
  <c r="Q284" i="2" s="1"/>
  <c r="O283" i="2"/>
  <c r="P283" i="2" s="1"/>
  <c r="Q283" i="2" s="1"/>
  <c r="O282" i="2"/>
  <c r="P282" i="2" s="1"/>
  <c r="Q282" i="2" s="1"/>
  <c r="N425" i="2"/>
  <c r="O425" i="2" s="1"/>
  <c r="P425" i="2" s="1"/>
  <c r="Q425" i="2" s="1"/>
  <c r="L425" i="2"/>
  <c r="M425" i="2" s="1"/>
  <c r="R425" i="2" s="1"/>
  <c r="L325" i="2"/>
  <c r="K326" i="2" s="1"/>
  <c r="L326" i="2" s="1"/>
  <c r="M326" i="2" s="1"/>
  <c r="L324" i="2"/>
  <c r="M324" i="2" s="1"/>
  <c r="L322" i="2"/>
  <c r="K323" i="2" s="1"/>
  <c r="L320" i="2"/>
  <c r="K321" i="2" s="1"/>
  <c r="L321" i="2" s="1"/>
  <c r="M321" i="2" s="1"/>
  <c r="L319" i="2"/>
  <c r="M319" i="2" s="1"/>
  <c r="L318" i="2"/>
  <c r="M318" i="2" s="1"/>
  <c r="L317" i="2"/>
  <c r="M317" i="2" s="1"/>
  <c r="L315" i="2"/>
  <c r="L430" i="2"/>
  <c r="K431" i="2" s="1"/>
  <c r="L313" i="2"/>
  <c r="K314" i="2" s="1"/>
  <c r="L314" i="2" s="1"/>
  <c r="M314" i="2" s="1"/>
  <c r="L311" i="2"/>
  <c r="L309" i="2"/>
  <c r="K310" i="2" s="1"/>
  <c r="L307" i="2"/>
  <c r="L305" i="2"/>
  <c r="K306" i="2" s="1"/>
  <c r="L306" i="2" s="1"/>
  <c r="M306" i="2" s="1"/>
  <c r="L303" i="2"/>
  <c r="K304" i="2" s="1"/>
  <c r="L304" i="2" s="1"/>
  <c r="M304" i="2" s="1"/>
  <c r="L301" i="2"/>
  <c r="K302" i="2" s="1"/>
  <c r="L302" i="2" s="1"/>
  <c r="M302" i="2" s="1"/>
  <c r="L428" i="2"/>
  <c r="K429" i="2" s="1"/>
  <c r="L429" i="2" s="1"/>
  <c r="M429" i="2" s="1"/>
  <c r="L426" i="2"/>
  <c r="K427" i="2" s="1"/>
  <c r="L427" i="2" s="1"/>
  <c r="M427" i="2" s="1"/>
  <c r="L299" i="2"/>
  <c r="K300" i="2" s="1"/>
  <c r="L300" i="2" s="1"/>
  <c r="M300" i="2" s="1"/>
  <c r="L419" i="2"/>
  <c r="K420" i="2" s="1"/>
  <c r="L420" i="2" s="1"/>
  <c r="M420" i="2" s="1"/>
  <c r="L421" i="2"/>
  <c r="K422" i="2" s="1"/>
  <c r="L422" i="2" s="1"/>
  <c r="M422" i="2" s="1"/>
  <c r="L297" i="2"/>
  <c r="K298" i="2" s="1"/>
  <c r="L295" i="2"/>
  <c r="K296" i="2" s="1"/>
  <c r="L296" i="2" s="1"/>
  <c r="M296" i="2" s="1"/>
  <c r="L293" i="2"/>
  <c r="K294" i="2" s="1"/>
  <c r="L294" i="2" s="1"/>
  <c r="M294" i="2" s="1"/>
  <c r="L291" i="2"/>
  <c r="K292" i="2" s="1"/>
  <c r="L292" i="2" s="1"/>
  <c r="M292" i="2" s="1"/>
  <c r="L285" i="2"/>
  <c r="M285" i="2" s="1"/>
  <c r="L284" i="2"/>
  <c r="M284" i="2" s="1"/>
  <c r="L283" i="2"/>
  <c r="M283" i="2" s="1"/>
  <c r="L282" i="2"/>
  <c r="M282" i="2" s="1"/>
  <c r="N281" i="2"/>
  <c r="O281" i="2" s="1"/>
  <c r="L281" i="2"/>
  <c r="M281" i="2" s="1"/>
  <c r="O407" i="2"/>
  <c r="P407" i="2" s="1"/>
  <c r="Q407" i="2" s="1"/>
  <c r="O406" i="2"/>
  <c r="P406" i="2" s="1"/>
  <c r="Q406" i="2" s="1"/>
  <c r="O363" i="2"/>
  <c r="P363" i="2" s="1"/>
  <c r="Q363" i="2" s="1"/>
  <c r="O254" i="2"/>
  <c r="P254" i="2" s="1"/>
  <c r="Q254" i="2" s="1"/>
  <c r="N227" i="2"/>
  <c r="L227" i="2"/>
  <c r="M227" i="2" s="1"/>
  <c r="R227" i="2" s="1"/>
  <c r="L407" i="2"/>
  <c r="M407" i="2" s="1"/>
  <c r="L406" i="2"/>
  <c r="M406" i="2" s="1"/>
  <c r="L363" i="2"/>
  <c r="M363" i="2" s="1"/>
  <c r="L254" i="2"/>
  <c r="L256" i="2"/>
  <c r="K257" i="2" s="1"/>
  <c r="L257" i="2" s="1"/>
  <c r="M257" i="2" s="1"/>
  <c r="L267" i="2"/>
  <c r="K268" i="2" s="1"/>
  <c r="L268" i="2" s="1"/>
  <c r="M268" i="2" s="1"/>
  <c r="L19" i="2"/>
  <c r="K20" i="2" s="1"/>
  <c r="L20" i="2" s="1"/>
  <c r="M20" i="2" s="1"/>
  <c r="L416" i="2"/>
  <c r="L395" i="2"/>
  <c r="K396" i="2" s="1"/>
  <c r="L396" i="2" s="1"/>
  <c r="M396" i="2" s="1"/>
  <c r="L469" i="2"/>
  <c r="N361" i="2"/>
  <c r="O361" i="2" s="1"/>
  <c r="P361" i="2" s="1"/>
  <c r="Q361" i="2" s="1"/>
  <c r="L361" i="2"/>
  <c r="M361" i="2" s="1"/>
  <c r="R361" i="2" s="1"/>
  <c r="L458" i="2"/>
  <c r="K459" i="2" s="1"/>
  <c r="L459" i="2" s="1"/>
  <c r="M459" i="2" s="1"/>
  <c r="L412" i="2"/>
  <c r="M412" i="2" s="1"/>
  <c r="R412" i="2" s="1"/>
  <c r="S412" i="2" s="1"/>
  <c r="T412" i="2" s="1"/>
  <c r="U412" i="2" s="1"/>
  <c r="O412" i="2"/>
  <c r="P412" i="2" s="1"/>
  <c r="Q412" i="2" s="1"/>
  <c r="N225" i="2"/>
  <c r="O225" i="2" s="1"/>
  <c r="P225" i="2" s="1"/>
  <c r="Q225" i="2" s="1"/>
  <c r="L225" i="2"/>
  <c r="M225" i="2" s="1"/>
  <c r="R225" i="2" s="1"/>
  <c r="N223" i="2"/>
  <c r="O223" i="2" s="1"/>
  <c r="P223" i="2" s="1"/>
  <c r="Q223" i="2" s="1"/>
  <c r="L223" i="2"/>
  <c r="M223" i="2" s="1"/>
  <c r="L386" i="2"/>
  <c r="K387" i="2" s="1"/>
  <c r="L387" i="2" s="1"/>
  <c r="M387" i="2" s="1"/>
  <c r="L219" i="2"/>
  <c r="N177" i="2"/>
  <c r="O177" i="2" s="1"/>
  <c r="P177" i="2" s="1"/>
  <c r="Q177" i="2" s="1"/>
  <c r="L177" i="2"/>
  <c r="M177" i="2" s="1"/>
  <c r="N155" i="2"/>
  <c r="O155" i="2" s="1"/>
  <c r="P155" i="2" s="1"/>
  <c r="Q155" i="2" s="1"/>
  <c r="L155" i="2"/>
  <c r="M155" i="2" s="1"/>
  <c r="L381" i="2"/>
  <c r="L153" i="2"/>
  <c r="K154" i="2" s="1"/>
  <c r="N120" i="2"/>
  <c r="O120" i="2" s="1"/>
  <c r="P120" i="2" s="1"/>
  <c r="Q120" i="2" s="1"/>
  <c r="L120" i="2"/>
  <c r="M120" i="2" s="1"/>
  <c r="L489" i="2"/>
  <c r="K490" i="2" s="1"/>
  <c r="L487" i="2"/>
  <c r="K488" i="2" s="1"/>
  <c r="L485" i="2"/>
  <c r="K486" i="2" s="1"/>
  <c r="L486" i="2" s="1"/>
  <c r="M486" i="2" s="1"/>
  <c r="L114" i="2"/>
  <c r="K115" i="2" s="1"/>
  <c r="L115" i="2" s="1"/>
  <c r="M115" i="2" s="1"/>
  <c r="N113" i="2"/>
  <c r="O113" i="2" s="1"/>
  <c r="P113" i="2" s="1"/>
  <c r="Q113" i="2" s="1"/>
  <c r="L113" i="2"/>
  <c r="M113" i="2" s="1"/>
  <c r="L372" i="2"/>
  <c r="K373" i="2" s="1"/>
  <c r="L373" i="2" s="1"/>
  <c r="M373" i="2" s="1"/>
  <c r="L111" i="2"/>
  <c r="K112" i="2" s="1"/>
  <c r="L112" i="2" s="1"/>
  <c r="M112" i="2" s="1"/>
  <c r="N184" i="2"/>
  <c r="O184" i="2" s="1"/>
  <c r="P184" i="2" s="1"/>
  <c r="Q184" i="2" s="1"/>
  <c r="L184" i="2"/>
  <c r="M184" i="2" s="1"/>
  <c r="L342" i="2"/>
  <c r="K343" i="2" s="1"/>
  <c r="L179" i="2"/>
  <c r="K180" i="2" s="1"/>
  <c r="L180" i="2" s="1"/>
  <c r="M180" i="2" s="1"/>
  <c r="N36" i="2"/>
  <c r="O36" i="2" s="1"/>
  <c r="P36" i="2" s="1"/>
  <c r="Q36" i="2" s="1"/>
  <c r="L36" i="2"/>
  <c r="M36" i="2" s="1"/>
  <c r="O172" i="2"/>
  <c r="P172" i="2" s="1"/>
  <c r="Q172" i="2" s="1"/>
  <c r="L172" i="2"/>
  <c r="K173" i="2" s="1"/>
  <c r="L164" i="2"/>
  <c r="K165" i="2" s="1"/>
  <c r="L165" i="2" s="1"/>
  <c r="M165" i="2" s="1"/>
  <c r="L238" i="2"/>
  <c r="K239" i="2" s="1"/>
  <c r="L239" i="2" s="1"/>
  <c r="M239" i="2" s="1"/>
  <c r="O30" i="2"/>
  <c r="P30" i="2" s="1"/>
  <c r="Q30" i="2" s="1"/>
  <c r="L30" i="2"/>
  <c r="K31" i="2" s="1"/>
  <c r="N23" i="2"/>
  <c r="O23" i="2" s="1"/>
  <c r="P23" i="2" s="1"/>
  <c r="Q23" i="2" s="1"/>
  <c r="L23" i="2"/>
  <c r="M23" i="2" s="1"/>
  <c r="O221" i="2"/>
  <c r="P221" i="2" s="1"/>
  <c r="Q221" i="2" s="1"/>
  <c r="L221" i="2"/>
  <c r="K222" i="2" s="1"/>
  <c r="L465" i="2"/>
  <c r="K466" i="2" s="1"/>
  <c r="L466" i="2" s="1"/>
  <c r="M466" i="2" s="1"/>
  <c r="L17" i="2"/>
  <c r="K18" i="2" s="1"/>
  <c r="L18" i="2" s="1"/>
  <c r="M18" i="2" s="1"/>
  <c r="O14" i="2"/>
  <c r="L14" i="2"/>
  <c r="M14" i="2" s="1"/>
  <c r="E106" i="12"/>
  <c r="L82" i="8"/>
  <c r="M82" i="8"/>
  <c r="N214" i="2"/>
  <c r="O214" i="2" s="1"/>
  <c r="L214" i="2"/>
  <c r="M214" i="2" s="1"/>
  <c r="N189" i="2"/>
  <c r="O189" i="2" s="1"/>
  <c r="P189" i="2" s="1"/>
  <c r="L189" i="2"/>
  <c r="M189" i="2" s="1"/>
  <c r="O467" i="5"/>
  <c r="P467" i="5" s="1"/>
  <c r="Q467" i="5" s="1"/>
  <c r="L467" i="5"/>
  <c r="M467" i="5" s="1"/>
  <c r="N80" i="8"/>
  <c r="O80" i="8"/>
  <c r="P80" i="8"/>
  <c r="Q80" i="8" s="1"/>
  <c r="L81" i="8"/>
  <c r="M81" i="8"/>
  <c r="L80" i="8"/>
  <c r="M80" i="8" s="1"/>
  <c r="L79" i="8"/>
  <c r="M79" i="8"/>
  <c r="O346" i="2"/>
  <c r="P346" i="2" s="1"/>
  <c r="Q346" i="2" s="1"/>
  <c r="L346" i="2"/>
  <c r="M346" i="2" s="1"/>
  <c r="O345" i="2"/>
  <c r="P345" i="2" s="1"/>
  <c r="Q345" i="2" s="1"/>
  <c r="L345" i="2"/>
  <c r="M345" i="2" s="1"/>
  <c r="O566" i="5"/>
  <c r="P566" i="5" s="1"/>
  <c r="Q566" i="5" s="1"/>
  <c r="L566" i="5"/>
  <c r="M566" i="5" s="1"/>
  <c r="O466" i="5"/>
  <c r="P466" i="5" s="1"/>
  <c r="Q466" i="5" s="1"/>
  <c r="O465" i="5"/>
  <c r="P465" i="5" s="1"/>
  <c r="O464" i="5"/>
  <c r="P464" i="5" s="1"/>
  <c r="Q464" i="5" s="1"/>
  <c r="L466" i="5"/>
  <c r="M466" i="5" s="1"/>
  <c r="L465" i="5"/>
  <c r="M465" i="5" s="1"/>
  <c r="L464" i="5"/>
  <c r="M464" i="5" s="1"/>
  <c r="O57" i="5"/>
  <c r="P57" i="5" s="1"/>
  <c r="Q57" i="5" s="1"/>
  <c r="L57" i="5"/>
  <c r="M57" i="5" s="1"/>
  <c r="N95" i="5"/>
  <c r="O95" i="5" s="1"/>
  <c r="P95" i="5" s="1"/>
  <c r="Q95" i="5" s="1"/>
  <c r="L95" i="5"/>
  <c r="M95" i="5" s="1"/>
  <c r="B95" i="5"/>
  <c r="O463" i="5"/>
  <c r="P463" i="5" s="1"/>
  <c r="Q463" i="5" s="1"/>
  <c r="L463" i="5"/>
  <c r="M463" i="5" s="1"/>
  <c r="O639" i="5"/>
  <c r="P639" i="5" s="1"/>
  <c r="Q639" i="5" s="1"/>
  <c r="O640" i="5"/>
  <c r="P640" i="5" s="1"/>
  <c r="Q640" i="5" s="1"/>
  <c r="O641" i="5"/>
  <c r="P641" i="5" s="1"/>
  <c r="Q641" i="5" s="1"/>
  <c r="L641" i="5"/>
  <c r="M641" i="5" s="1"/>
  <c r="L52" i="8"/>
  <c r="M52" i="8" s="1"/>
  <c r="N78" i="8"/>
  <c r="O78" i="8"/>
  <c r="P78" i="8"/>
  <c r="Q78" i="8" s="1"/>
  <c r="L78" i="8"/>
  <c r="M78" i="8"/>
  <c r="O565" i="5"/>
  <c r="P565" i="5" s="1"/>
  <c r="Q565" i="5" s="1"/>
  <c r="L565" i="5"/>
  <c r="M565" i="5" s="1"/>
  <c r="O462" i="5"/>
  <c r="P462" i="5" s="1"/>
  <c r="Q462" i="5" s="1"/>
  <c r="L462" i="5"/>
  <c r="M462" i="5" s="1"/>
  <c r="O344" i="2"/>
  <c r="P344" i="2" s="1"/>
  <c r="Q344" i="2" s="1"/>
  <c r="L344" i="2"/>
  <c r="M344" i="2" s="1"/>
  <c r="E105" i="12"/>
  <c r="E104" i="12"/>
  <c r="O222" i="5"/>
  <c r="P222" i="5" s="1"/>
  <c r="Q222" i="5" s="1"/>
  <c r="L222" i="5"/>
  <c r="M222" i="5" s="1"/>
  <c r="L640" i="5"/>
  <c r="M640" i="5" s="1"/>
  <c r="L639" i="5"/>
  <c r="M639" i="5" s="1"/>
  <c r="O188" i="2"/>
  <c r="P188" i="2" s="1"/>
  <c r="Q188" i="2" s="1"/>
  <c r="L188" i="2"/>
  <c r="M188" i="2" s="1"/>
  <c r="R188" i="2" s="1"/>
  <c r="S188" i="2" s="1"/>
  <c r="L77" i="8"/>
  <c r="M77" i="8"/>
  <c r="L76" i="8"/>
  <c r="M76" i="8" s="1"/>
  <c r="L157" i="8"/>
  <c r="M157" i="8"/>
  <c r="L50" i="8"/>
  <c r="M50" i="8" s="1"/>
  <c r="O564" i="5"/>
  <c r="P564" i="5" s="1"/>
  <c r="Q564" i="5" s="1"/>
  <c r="L564" i="5"/>
  <c r="M564" i="5" s="1"/>
  <c r="O459" i="5"/>
  <c r="P459" i="5" s="1"/>
  <c r="Q459" i="5" s="1"/>
  <c r="O460" i="5"/>
  <c r="P460" i="5" s="1"/>
  <c r="Q460" i="5" s="1"/>
  <c r="O461" i="5"/>
  <c r="P461" i="5" s="1"/>
  <c r="Q461" i="5" s="1"/>
  <c r="L461" i="5"/>
  <c r="M461" i="5" s="1"/>
  <c r="L460" i="5"/>
  <c r="M460" i="5" s="1"/>
  <c r="L459" i="5"/>
  <c r="M459" i="5" s="1"/>
  <c r="L29" i="8"/>
  <c r="M29" i="8"/>
  <c r="O139" i="5"/>
  <c r="P139" i="5" s="1"/>
  <c r="Q139" i="5" s="1"/>
  <c r="L139" i="5"/>
  <c r="M139" i="5" s="1"/>
  <c r="D103" i="12"/>
  <c r="C103" i="12"/>
  <c r="N240" i="2"/>
  <c r="O240" i="2" s="1"/>
  <c r="P240" i="2" s="1"/>
  <c r="Q240" i="2" s="1"/>
  <c r="H6" i="12"/>
  <c r="S1" i="8"/>
  <c r="S11" i="8" s="1"/>
  <c r="S1" i="5"/>
  <c r="R1" i="2"/>
  <c r="O126" i="5"/>
  <c r="P126" i="5" s="1"/>
  <c r="Q126" i="5" s="1"/>
  <c r="O137" i="5"/>
  <c r="P137" i="5" s="1"/>
  <c r="Q137" i="5" s="1"/>
  <c r="L137" i="5"/>
  <c r="M137" i="5" s="1"/>
  <c r="L126" i="5"/>
  <c r="M126" i="5" s="1"/>
  <c r="L125" i="5"/>
  <c r="M125" i="5" s="1"/>
  <c r="L62" i="5"/>
  <c r="M62" i="5" s="1"/>
  <c r="L122" i="5"/>
  <c r="M122" i="5" s="1"/>
  <c r="O163" i="5"/>
  <c r="P163" i="5" s="1"/>
  <c r="Q163" i="5" s="1"/>
  <c r="O162" i="5"/>
  <c r="P162" i="5" s="1"/>
  <c r="Q162" i="5" s="1"/>
  <c r="O158" i="5"/>
  <c r="P158" i="5" s="1"/>
  <c r="Q158" i="5" s="1"/>
  <c r="O122" i="5"/>
  <c r="P122" i="5" s="1"/>
  <c r="Q122" i="5" s="1"/>
  <c r="O62" i="5"/>
  <c r="P62" i="5" s="1"/>
  <c r="Q62" i="5" s="1"/>
  <c r="O125" i="5"/>
  <c r="P125" i="5" s="1"/>
  <c r="Q125" i="5" s="1"/>
  <c r="L158" i="5"/>
  <c r="M158" i="5" s="1"/>
  <c r="L162" i="5"/>
  <c r="M162" i="5" s="1"/>
  <c r="L163" i="5"/>
  <c r="M163" i="5" s="1"/>
  <c r="O353" i="5"/>
  <c r="P353" i="5" s="1"/>
  <c r="Q353" i="5" s="1"/>
  <c r="L353" i="5"/>
  <c r="M353" i="5" s="1"/>
  <c r="L28" i="8"/>
  <c r="M28" i="8"/>
  <c r="N346" i="5"/>
  <c r="O346" i="5" s="1"/>
  <c r="L346" i="5"/>
  <c r="M346" i="5" s="1"/>
  <c r="B346" i="5"/>
  <c r="N345" i="5"/>
  <c r="B345" i="5"/>
  <c r="L345" i="5"/>
  <c r="M345" i="5" s="1"/>
  <c r="O186" i="2"/>
  <c r="P186" i="2" s="1"/>
  <c r="Q186" i="2" s="1"/>
  <c r="L186" i="2"/>
  <c r="M186" i="2" s="1"/>
  <c r="N185" i="2"/>
  <c r="O185" i="2" s="1"/>
  <c r="P185" i="2" s="1"/>
  <c r="Q185" i="2" s="1"/>
  <c r="L185" i="2"/>
  <c r="M185" i="2" s="1"/>
  <c r="R185" i="2" s="1"/>
  <c r="N563" i="5"/>
  <c r="O563" i="5" s="1"/>
  <c r="P563" i="5" s="1"/>
  <c r="Q563" i="5" s="1"/>
  <c r="L563" i="5"/>
  <c r="M563" i="5" s="1"/>
  <c r="B563" i="5"/>
  <c r="L27" i="8"/>
  <c r="M27" i="8"/>
  <c r="O456" i="5"/>
  <c r="P456" i="5" s="1"/>
  <c r="Q456" i="5" s="1"/>
  <c r="N458" i="5"/>
  <c r="O458" i="5" s="1"/>
  <c r="P458" i="5" s="1"/>
  <c r="Q458" i="5" s="1"/>
  <c r="L458" i="5"/>
  <c r="M458" i="5" s="1"/>
  <c r="B458" i="5"/>
  <c r="L456" i="5"/>
  <c r="M456" i="5" s="1"/>
  <c r="N562" i="5"/>
  <c r="L562" i="5"/>
  <c r="M562" i="5" s="1"/>
  <c r="B562" i="5"/>
  <c r="O457" i="5"/>
  <c r="P457" i="5" s="1"/>
  <c r="Q457" i="5" s="1"/>
  <c r="L457" i="5"/>
  <c r="M457" i="5" s="1"/>
  <c r="N26" i="8"/>
  <c r="O26" i="8"/>
  <c r="P26" i="8"/>
  <c r="Q26" i="8" s="1"/>
  <c r="L26" i="8"/>
  <c r="M26" i="8"/>
  <c r="L75" i="8"/>
  <c r="M75" i="8" s="1"/>
  <c r="L25" i="8"/>
  <c r="M25" i="8"/>
  <c r="L74" i="8"/>
  <c r="M74" i="8" s="1"/>
  <c r="L240" i="2"/>
  <c r="M240" i="2" s="1"/>
  <c r="A3" i="2"/>
  <c r="R2" i="2" s="1"/>
  <c r="A3" i="5"/>
  <c r="S2" i="5" s="1"/>
  <c r="T11" i="5" s="1"/>
  <c r="C99" i="12"/>
  <c r="N127" i="8"/>
  <c r="O127" i="8"/>
  <c r="P127" i="8"/>
  <c r="Q127" i="8" s="1"/>
  <c r="E102" i="12"/>
  <c r="O454" i="5"/>
  <c r="P454" i="5" s="1"/>
  <c r="Q454" i="5" s="1"/>
  <c r="L454" i="5"/>
  <c r="M454" i="5" s="1"/>
  <c r="S2" i="8"/>
  <c r="T11" i="8" s="1"/>
  <c r="N636" i="5"/>
  <c r="O636" i="5" s="1"/>
  <c r="P636" i="5" s="1"/>
  <c r="Q636" i="5" s="1"/>
  <c r="N635" i="5"/>
  <c r="O635" i="5" s="1"/>
  <c r="L73" i="8"/>
  <c r="M73" i="8"/>
  <c r="O14" i="5"/>
  <c r="P14" i="5" s="1"/>
  <c r="Q14" i="5" s="1"/>
  <c r="L14" i="5"/>
  <c r="M14" i="5" s="1"/>
  <c r="O153" i="5"/>
  <c r="P153" i="5" s="1"/>
  <c r="Q153" i="5" s="1"/>
  <c r="O154" i="5"/>
  <c r="P154" i="5" s="1"/>
  <c r="Q154" i="5" s="1"/>
  <c r="L154" i="5"/>
  <c r="M154" i="5" s="1"/>
  <c r="L153" i="5"/>
  <c r="M153" i="5" s="1"/>
  <c r="O16" i="5"/>
  <c r="P16" i="5" s="1"/>
  <c r="Q16" i="5" s="1"/>
  <c r="L16" i="5"/>
  <c r="M16" i="5" s="1"/>
  <c r="O15" i="5"/>
  <c r="P15" i="5" s="1"/>
  <c r="Q15" i="5" s="1"/>
  <c r="L15" i="5"/>
  <c r="M15" i="5" s="1"/>
  <c r="O549" i="5"/>
  <c r="P549" i="5" s="1"/>
  <c r="Q549" i="5" s="1"/>
  <c r="L549" i="5"/>
  <c r="M549" i="5" s="1"/>
  <c r="O561" i="5"/>
  <c r="P561" i="5" s="1"/>
  <c r="Q561" i="5" s="1"/>
  <c r="O560" i="5"/>
  <c r="P560" i="5" s="1"/>
  <c r="Q560" i="5" s="1"/>
  <c r="L561" i="5"/>
  <c r="M561" i="5" s="1"/>
  <c r="L560" i="5"/>
  <c r="M560" i="5" s="1"/>
  <c r="L636" i="5"/>
  <c r="M636" i="5" s="1"/>
  <c r="L635" i="5"/>
  <c r="M635" i="5" s="1"/>
  <c r="L72" i="8"/>
  <c r="M72" i="8"/>
  <c r="L71" i="8"/>
  <c r="M71" i="8"/>
  <c r="O183" i="2"/>
  <c r="P183" i="2" s="1"/>
  <c r="Q183" i="2" s="1"/>
  <c r="L183" i="2"/>
  <c r="M183" i="2" s="1"/>
  <c r="L181" i="2"/>
  <c r="K182" i="2" s="1"/>
  <c r="L182" i="2" s="1"/>
  <c r="M182" i="2" s="1"/>
  <c r="L338" i="2"/>
  <c r="L114" i="8"/>
  <c r="M114" i="8" s="1"/>
  <c r="L115" i="8"/>
  <c r="M115" i="8"/>
  <c r="N1188" i="5"/>
  <c r="O1188" i="5" s="1"/>
  <c r="P1188" i="5" s="1"/>
  <c r="Q1188" i="5" s="1"/>
  <c r="N294" i="5"/>
  <c r="O294" i="5" s="1"/>
  <c r="P294" i="5" s="1"/>
  <c r="Q294" i="5" s="1"/>
  <c r="B76" i="12"/>
  <c r="U144" i="8"/>
  <c r="H76" i="12"/>
  <c r="N120" i="8"/>
  <c r="O120" i="8"/>
  <c r="P120" i="8"/>
  <c r="Q120" i="8"/>
  <c r="E99" i="12"/>
  <c r="L23" i="8"/>
  <c r="M23" i="8"/>
  <c r="N70" i="8"/>
  <c r="O70" i="8" s="1"/>
  <c r="P70" i="8" s="1"/>
  <c r="Q70" i="8" s="1"/>
  <c r="L70" i="8"/>
  <c r="M70" i="8" s="1"/>
  <c r="N69" i="8"/>
  <c r="O69" i="8"/>
  <c r="P69" i="8"/>
  <c r="Q69" i="8" s="1"/>
  <c r="L69" i="8"/>
  <c r="M69" i="8"/>
  <c r="L22" i="8"/>
  <c r="M22" i="8" s="1"/>
  <c r="L130" i="8"/>
  <c r="M130" i="8"/>
  <c r="L118" i="8"/>
  <c r="M118" i="8" s="1"/>
  <c r="N117" i="8"/>
  <c r="O117" i="8"/>
  <c r="P117" i="8"/>
  <c r="Q117" i="8" s="1"/>
  <c r="L117" i="8"/>
  <c r="M117" i="8"/>
  <c r="N129" i="8"/>
  <c r="O129" i="8" s="1"/>
  <c r="P129" i="8" s="1"/>
  <c r="Q129" i="8" s="1"/>
  <c r="L129" i="8"/>
  <c r="M129" i="8" s="1"/>
  <c r="N128" i="8"/>
  <c r="O128" i="8"/>
  <c r="P128" i="8"/>
  <c r="Q128" i="8" s="1"/>
  <c r="L128" i="8"/>
  <c r="M128" i="8"/>
  <c r="N116" i="8"/>
  <c r="L116" i="8"/>
  <c r="M116" i="8"/>
  <c r="N119" i="8"/>
  <c r="O119" i="8"/>
  <c r="P119" i="8" s="1"/>
  <c r="Q119" i="8" s="1"/>
  <c r="L119" i="8"/>
  <c r="M119" i="8"/>
  <c r="L127" i="8"/>
  <c r="M127" i="8"/>
  <c r="L120" i="8"/>
  <c r="M120" i="8"/>
  <c r="N21" i="8"/>
  <c r="O21" i="8"/>
  <c r="L21" i="8"/>
  <c r="M21" i="8"/>
  <c r="L20" i="8"/>
  <c r="M20" i="8"/>
  <c r="N150" i="5"/>
  <c r="O150" i="5" s="1"/>
  <c r="P150" i="5" s="1"/>
  <c r="Q150" i="5" s="1"/>
  <c r="N134" i="5"/>
  <c r="O134" i="5" s="1"/>
  <c r="P134" i="5" s="1"/>
  <c r="Q134" i="5" s="1"/>
  <c r="L134" i="5"/>
  <c r="M134" i="5" s="1"/>
  <c r="L150" i="5"/>
  <c r="M150" i="5" s="1"/>
  <c r="O452" i="5"/>
  <c r="P452" i="5" s="1"/>
  <c r="Q452" i="5" s="1"/>
  <c r="L452" i="5"/>
  <c r="M452" i="5" s="1"/>
  <c r="O451" i="5"/>
  <c r="P451" i="5" s="1"/>
  <c r="Q451" i="5" s="1"/>
  <c r="L451" i="5"/>
  <c r="M451" i="5" s="1"/>
  <c r="O631" i="5"/>
  <c r="P631" i="5" s="1"/>
  <c r="Q631" i="5" s="1"/>
  <c r="L631" i="5"/>
  <c r="M631" i="5" s="1"/>
  <c r="O1200" i="5"/>
  <c r="P1200" i="5" s="1"/>
  <c r="Q1200" i="5" s="1"/>
  <c r="L1200" i="5"/>
  <c r="M1200" i="5" s="1"/>
  <c r="O1098" i="5"/>
  <c r="P1098" i="5" s="1"/>
  <c r="Q1098" i="5" s="1"/>
  <c r="L1098" i="5"/>
  <c r="M1098" i="5" s="1"/>
  <c r="O558" i="5"/>
  <c r="P558" i="5" s="1"/>
  <c r="Q558" i="5" s="1"/>
  <c r="L558" i="5"/>
  <c r="M558" i="5" s="1"/>
  <c r="L48" i="8"/>
  <c r="L151" i="8"/>
  <c r="M151" i="8" s="1"/>
  <c r="L154" i="8"/>
  <c r="M154" i="8"/>
  <c r="L161" i="8"/>
  <c r="M161" i="8" s="1"/>
  <c r="L43" i="8"/>
  <c r="L160" i="8"/>
  <c r="M160" i="8"/>
  <c r="L46" i="8"/>
  <c r="K47" i="8"/>
  <c r="L64" i="8"/>
  <c r="M64" i="8"/>
  <c r="L65" i="8"/>
  <c r="M65" i="8"/>
  <c r="L66" i="8"/>
  <c r="M66" i="8"/>
  <c r="L67" i="8"/>
  <c r="M67" i="8"/>
  <c r="L68" i="8"/>
  <c r="M68" i="8"/>
  <c r="L807" i="5"/>
  <c r="M807" i="5" s="1"/>
  <c r="O807" i="5"/>
  <c r="P807" i="5" s="1"/>
  <c r="Q807" i="5" s="1"/>
  <c r="L788" i="5"/>
  <c r="M788" i="5" s="1"/>
  <c r="O788" i="5"/>
  <c r="L799" i="5"/>
  <c r="M799" i="5" s="1"/>
  <c r="O799" i="5"/>
  <c r="P799" i="5" s="1"/>
  <c r="Q799" i="5" s="1"/>
  <c r="L795" i="5"/>
  <c r="M795" i="5" s="1"/>
  <c r="O795" i="5"/>
  <c r="P795" i="5" s="1"/>
  <c r="Q795" i="5" s="1"/>
  <c r="L801" i="5"/>
  <c r="M801" i="5" s="1"/>
  <c r="O801" i="5"/>
  <c r="P801" i="5" s="1"/>
  <c r="Q801" i="5" s="1"/>
  <c r="L860" i="5"/>
  <c r="M860" i="5" s="1"/>
  <c r="O860" i="5"/>
  <c r="L798" i="5"/>
  <c r="M798" i="5" s="1"/>
  <c r="O798" i="5"/>
  <c r="P798" i="5" s="1"/>
  <c r="Q798" i="5" s="1"/>
  <c r="L808" i="5"/>
  <c r="M808" i="5" s="1"/>
  <c r="O808" i="5"/>
  <c r="P808" i="5" s="1"/>
  <c r="Q808" i="5" s="1"/>
  <c r="L816" i="5"/>
  <c r="M816" i="5" s="1"/>
  <c r="O816" i="5"/>
  <c r="P816" i="5" s="1"/>
  <c r="Q816" i="5" s="1"/>
  <c r="L845" i="5"/>
  <c r="M845" i="5" s="1"/>
  <c r="O845" i="5"/>
  <c r="P845" i="5" s="1"/>
  <c r="Q845" i="5" s="1"/>
  <c r="L789" i="5"/>
  <c r="M789" i="5" s="1"/>
  <c r="O789" i="5"/>
  <c r="P789" i="5" s="1"/>
  <c r="Q789" i="5" s="1"/>
  <c r="L852" i="5"/>
  <c r="M852" i="5" s="1"/>
  <c r="O852" i="5"/>
  <c r="P852" i="5" s="1"/>
  <c r="Q852" i="5" s="1"/>
  <c r="L862" i="5"/>
  <c r="M862" i="5" s="1"/>
  <c r="O862" i="5"/>
  <c r="P862" i="5" s="1"/>
  <c r="Q862" i="5" s="1"/>
  <c r="L818" i="5"/>
  <c r="M818" i="5" s="1"/>
  <c r="O818" i="5"/>
  <c r="P818" i="5" s="1"/>
  <c r="Q818" i="5" s="1"/>
  <c r="L819" i="5"/>
  <c r="M819" i="5" s="1"/>
  <c r="O819" i="5"/>
  <c r="P819" i="5" s="1"/>
  <c r="Q819" i="5" s="1"/>
  <c r="L813" i="5"/>
  <c r="M813" i="5" s="1"/>
  <c r="O813" i="5"/>
  <c r="P813" i="5" s="1"/>
  <c r="Q813" i="5" s="1"/>
  <c r="L811" i="5"/>
  <c r="M811" i="5" s="1"/>
  <c r="O811" i="5"/>
  <c r="P811" i="5" s="1"/>
  <c r="Q811" i="5" s="1"/>
  <c r="L851" i="5"/>
  <c r="M851" i="5" s="1"/>
  <c r="O851" i="5"/>
  <c r="P851" i="5" s="1"/>
  <c r="Q851" i="5" s="1"/>
  <c r="L854" i="5"/>
  <c r="M854" i="5" s="1"/>
  <c r="O854" i="5"/>
  <c r="P854" i="5" s="1"/>
  <c r="Q854" i="5" s="1"/>
  <c r="L814" i="5"/>
  <c r="M814" i="5" s="1"/>
  <c r="O814" i="5"/>
  <c r="P814" i="5" s="1"/>
  <c r="Q814" i="5" s="1"/>
  <c r="L812" i="5"/>
  <c r="M812" i="5" s="1"/>
  <c r="O812" i="5"/>
  <c r="P812" i="5" s="1"/>
  <c r="Q812" i="5" s="1"/>
  <c r="L850" i="5"/>
  <c r="M850" i="5" s="1"/>
  <c r="O850" i="5"/>
  <c r="P850" i="5" s="1"/>
  <c r="Q850" i="5" s="1"/>
  <c r="L820" i="5"/>
  <c r="M820" i="5" s="1"/>
  <c r="O820" i="5"/>
  <c r="P820" i="5" s="1"/>
  <c r="Q820" i="5" s="1"/>
  <c r="L810" i="5"/>
  <c r="M810" i="5" s="1"/>
  <c r="O810" i="5"/>
  <c r="P810" i="5" s="1"/>
  <c r="Q810" i="5" s="1"/>
  <c r="L809" i="5"/>
  <c r="M809" i="5" s="1"/>
  <c r="O809" i="5"/>
  <c r="P809" i="5" s="1"/>
  <c r="Q809" i="5" s="1"/>
  <c r="L861" i="5"/>
  <c r="M861" i="5" s="1"/>
  <c r="O861" i="5"/>
  <c r="P861" i="5" s="1"/>
  <c r="Q861" i="5" s="1"/>
  <c r="L817" i="5"/>
  <c r="M817" i="5" s="1"/>
  <c r="O817" i="5"/>
  <c r="P817" i="5" s="1"/>
  <c r="Q817" i="5" s="1"/>
  <c r="L840" i="5"/>
  <c r="M840" i="5" s="1"/>
  <c r="O840" i="5"/>
  <c r="P840" i="5" s="1"/>
  <c r="Q840" i="5" s="1"/>
  <c r="L841" i="5"/>
  <c r="M841" i="5" s="1"/>
  <c r="O841" i="5"/>
  <c r="P841" i="5" s="1"/>
  <c r="Q841" i="5" s="1"/>
  <c r="L880" i="5"/>
  <c r="M880" i="5" s="1"/>
  <c r="O880" i="5"/>
  <c r="P880" i="5" s="1"/>
  <c r="Q880" i="5" s="1"/>
  <c r="L919" i="5"/>
  <c r="M919" i="5" s="1"/>
  <c r="O919" i="5"/>
  <c r="P919" i="5" s="1"/>
  <c r="Q919" i="5" s="1"/>
  <c r="L844" i="5"/>
  <c r="M844" i="5" s="1"/>
  <c r="O844" i="5"/>
  <c r="P844" i="5" s="1"/>
  <c r="Q844" i="5" s="1"/>
  <c r="L826" i="5"/>
  <c r="M826" i="5" s="1"/>
  <c r="O826" i="5"/>
  <c r="P826" i="5" s="1"/>
  <c r="Q826" i="5" s="1"/>
  <c r="L864" i="5"/>
  <c r="M864" i="5" s="1"/>
  <c r="O864" i="5"/>
  <c r="P864" i="5" s="1"/>
  <c r="Q864" i="5" s="1"/>
  <c r="L824" i="5"/>
  <c r="M824" i="5" s="1"/>
  <c r="O824" i="5"/>
  <c r="P824" i="5" s="1"/>
  <c r="Q824" i="5" s="1"/>
  <c r="L825" i="5"/>
  <c r="M825" i="5" s="1"/>
  <c r="O825" i="5"/>
  <c r="P825" i="5" s="1"/>
  <c r="Q825" i="5" s="1"/>
  <c r="L827" i="5"/>
  <c r="M827" i="5" s="1"/>
  <c r="O827" i="5"/>
  <c r="P827" i="5" s="1"/>
  <c r="Q827" i="5" s="1"/>
  <c r="L790" i="5"/>
  <c r="M790" i="5" s="1"/>
  <c r="O790" i="5"/>
  <c r="P790" i="5" s="1"/>
  <c r="Q790" i="5" s="1"/>
  <c r="L791" i="5"/>
  <c r="M791" i="5" s="1"/>
  <c r="O791" i="5"/>
  <c r="P791" i="5" s="1"/>
  <c r="Q791" i="5" s="1"/>
  <c r="L856" i="5"/>
  <c r="M856" i="5" s="1"/>
  <c r="O856" i="5"/>
  <c r="P856" i="5" s="1"/>
  <c r="Q856" i="5" s="1"/>
  <c r="L857" i="5"/>
  <c r="M857" i="5" s="1"/>
  <c r="O857" i="5"/>
  <c r="P857" i="5" s="1"/>
  <c r="Q857" i="5" s="1"/>
  <c r="L855" i="5"/>
  <c r="M855" i="5" s="1"/>
  <c r="O855" i="5"/>
  <c r="P855" i="5" s="1"/>
  <c r="Q855" i="5" s="1"/>
  <c r="L815" i="5"/>
  <c r="M815" i="5" s="1"/>
  <c r="O815" i="5"/>
  <c r="P815" i="5" s="1"/>
  <c r="Q815" i="5" s="1"/>
  <c r="L853" i="5"/>
  <c r="M853" i="5" s="1"/>
  <c r="O853" i="5"/>
  <c r="P853" i="5" s="1"/>
  <c r="Q853" i="5" s="1"/>
  <c r="L863" i="5"/>
  <c r="M863" i="5" s="1"/>
  <c r="O863" i="5"/>
  <c r="P863" i="5" s="1"/>
  <c r="Q863" i="5" s="1"/>
  <c r="L837" i="5"/>
  <c r="M837" i="5" s="1"/>
  <c r="O837" i="5"/>
  <c r="P837" i="5" s="1"/>
  <c r="Q837" i="5" s="1"/>
  <c r="L830" i="5"/>
  <c r="M830" i="5" s="1"/>
  <c r="O830" i="5"/>
  <c r="P830" i="5" s="1"/>
  <c r="Q830" i="5" s="1"/>
  <c r="L831" i="5"/>
  <c r="M831" i="5" s="1"/>
  <c r="O831" i="5"/>
  <c r="P831" i="5" s="1"/>
  <c r="Q831" i="5" s="1"/>
  <c r="L836" i="5"/>
  <c r="M836" i="5" s="1"/>
  <c r="O836" i="5"/>
  <c r="P836" i="5" s="1"/>
  <c r="Q836" i="5" s="1"/>
  <c r="L832" i="5"/>
  <c r="M832" i="5" s="1"/>
  <c r="O832" i="5"/>
  <c r="P832" i="5" s="1"/>
  <c r="Q832" i="5" s="1"/>
  <c r="L838" i="5"/>
  <c r="M838" i="5" s="1"/>
  <c r="O838" i="5"/>
  <c r="P838" i="5" s="1"/>
  <c r="Q838" i="5" s="1"/>
  <c r="L833" i="5"/>
  <c r="M833" i="5" s="1"/>
  <c r="O833" i="5"/>
  <c r="P833" i="5" s="1"/>
  <c r="Q833" i="5" s="1"/>
  <c r="L793" i="5"/>
  <c r="M793" i="5" s="1"/>
  <c r="O793" i="5"/>
  <c r="P793" i="5" s="1"/>
  <c r="Q793" i="5" s="1"/>
  <c r="L839" i="5"/>
  <c r="M839" i="5" s="1"/>
  <c r="O839" i="5"/>
  <c r="P839" i="5" s="1"/>
  <c r="Q839" i="5" s="1"/>
  <c r="L858" i="5"/>
  <c r="M858" i="5" s="1"/>
  <c r="O858" i="5"/>
  <c r="P858" i="5" s="1"/>
  <c r="Q858" i="5" s="1"/>
  <c r="L877" i="5"/>
  <c r="M877" i="5" s="1"/>
  <c r="O877" i="5"/>
  <c r="P877" i="5" s="1"/>
  <c r="Q877" i="5" s="1"/>
  <c r="L878" i="5"/>
  <c r="M878" i="5" s="1"/>
  <c r="O878" i="5"/>
  <c r="P878" i="5" s="1"/>
  <c r="Q878" i="5" s="1"/>
  <c r="L879" i="5"/>
  <c r="M879" i="5" s="1"/>
  <c r="O879" i="5"/>
  <c r="P879" i="5" s="1"/>
  <c r="Q879" i="5" s="1"/>
  <c r="L806" i="5"/>
  <c r="M806" i="5" s="1"/>
  <c r="O806" i="5"/>
  <c r="P806" i="5" s="1"/>
  <c r="Q806" i="5" s="1"/>
  <c r="L805" i="5"/>
  <c r="M805" i="5" s="1"/>
  <c r="O805" i="5"/>
  <c r="P805" i="5" s="1"/>
  <c r="Q805" i="5" s="1"/>
  <c r="L828" i="5"/>
  <c r="M828" i="5" s="1"/>
  <c r="O828" i="5"/>
  <c r="P828" i="5" s="1"/>
  <c r="Q828" i="5" s="1"/>
  <c r="L846" i="5"/>
  <c r="M846" i="5" s="1"/>
  <c r="O846" i="5"/>
  <c r="P846" i="5" s="1"/>
  <c r="Q846" i="5" s="1"/>
  <c r="L922" i="5"/>
  <c r="M922" i="5" s="1"/>
  <c r="O922" i="5"/>
  <c r="P922" i="5" s="1"/>
  <c r="Q922" i="5" s="1"/>
  <c r="L923" i="5"/>
  <c r="M923" i="5" s="1"/>
  <c r="O923" i="5"/>
  <c r="P923" i="5" s="1"/>
  <c r="Q923" i="5" s="1"/>
  <c r="L834" i="5"/>
  <c r="M834" i="5" s="1"/>
  <c r="O834" i="5"/>
  <c r="P834" i="5" s="1"/>
  <c r="Q834" i="5" s="1"/>
  <c r="L835" i="5"/>
  <c r="M835" i="5" s="1"/>
  <c r="O835" i="5"/>
  <c r="P835" i="5" s="1"/>
  <c r="Q835" i="5" s="1"/>
  <c r="L829" i="5"/>
  <c r="M829" i="5" s="1"/>
  <c r="O829" i="5"/>
  <c r="P829" i="5" s="1"/>
  <c r="Q829" i="5" s="1"/>
  <c r="L804" i="5"/>
  <c r="M804" i="5" s="1"/>
  <c r="O804" i="5"/>
  <c r="P804" i="5" s="1"/>
  <c r="Q804" i="5" s="1"/>
  <c r="L823" i="5"/>
  <c r="M823" i="5" s="1"/>
  <c r="O823" i="5"/>
  <c r="P823" i="5" s="1"/>
  <c r="Q823" i="5" s="1"/>
  <c r="L821" i="5"/>
  <c r="M821" i="5" s="1"/>
  <c r="O821" i="5"/>
  <c r="P821" i="5" s="1"/>
  <c r="Q821" i="5" s="1"/>
  <c r="L876" i="5"/>
  <c r="M876" i="5" s="1"/>
  <c r="O876" i="5"/>
  <c r="P876" i="5" s="1"/>
  <c r="Q876" i="5" s="1"/>
  <c r="L917" i="5"/>
  <c r="M917" i="5" s="1"/>
  <c r="O917" i="5"/>
  <c r="P917" i="5" s="1"/>
  <c r="Q917" i="5" s="1"/>
  <c r="L822" i="5"/>
  <c r="M822" i="5" s="1"/>
  <c r="O822" i="5"/>
  <c r="P822" i="5" s="1"/>
  <c r="Q822" i="5" s="1"/>
  <c r="L875" i="5"/>
  <c r="M875" i="5" s="1"/>
  <c r="O875" i="5"/>
  <c r="P875" i="5" s="1"/>
  <c r="Q875" i="5" s="1"/>
  <c r="L916" i="5"/>
  <c r="M916" i="5" s="1"/>
  <c r="O916" i="5"/>
  <c r="P916" i="5" s="1"/>
  <c r="Q916" i="5" s="1"/>
  <c r="L56" i="5"/>
  <c r="M56" i="5" s="1"/>
  <c r="O56" i="5"/>
  <c r="P56" i="5" s="1"/>
  <c r="Q56" i="5" s="1"/>
  <c r="L874" i="5"/>
  <c r="M874" i="5" s="1"/>
  <c r="O874" i="5"/>
  <c r="P874" i="5" s="1"/>
  <c r="Q874" i="5" s="1"/>
  <c r="L873" i="5"/>
  <c r="M873" i="5" s="1"/>
  <c r="O873" i="5"/>
  <c r="P873" i="5" s="1"/>
  <c r="Q873" i="5" s="1"/>
  <c r="L915" i="5"/>
  <c r="M915" i="5" s="1"/>
  <c r="O915" i="5"/>
  <c r="P915" i="5" s="1"/>
  <c r="Q915" i="5" s="1"/>
  <c r="L803" i="5"/>
  <c r="M803" i="5" s="1"/>
  <c r="O803" i="5"/>
  <c r="P803" i="5" s="1"/>
  <c r="Q803" i="5" s="1"/>
  <c r="L55" i="5"/>
  <c r="M55" i="5" s="1"/>
  <c r="O55" i="5"/>
  <c r="P55" i="5" s="1"/>
  <c r="Q55" i="5" s="1"/>
  <c r="L53" i="5"/>
  <c r="M53" i="5" s="1"/>
  <c r="O53" i="5"/>
  <c r="P53" i="5" s="1"/>
  <c r="Q53" i="5" s="1"/>
  <c r="L918" i="5"/>
  <c r="M918" i="5" s="1"/>
  <c r="O918" i="5"/>
  <c r="P918" i="5" s="1"/>
  <c r="Q918" i="5" s="1"/>
  <c r="L797" i="5"/>
  <c r="M797" i="5" s="1"/>
  <c r="O797" i="5"/>
  <c r="P797" i="5" s="1"/>
  <c r="Q797" i="5" s="1"/>
  <c r="L54" i="5"/>
  <c r="M54" i="5" s="1"/>
  <c r="O54" i="5"/>
  <c r="P54" i="5" s="1"/>
  <c r="Q54" i="5" s="1"/>
  <c r="L93" i="5"/>
  <c r="M93" i="5" s="1"/>
  <c r="O93" i="5"/>
  <c r="P93" i="5" s="1"/>
  <c r="Q93" i="5" s="1"/>
  <c r="L869" i="5"/>
  <c r="M869" i="5" s="1"/>
  <c r="O869" i="5"/>
  <c r="P869" i="5" s="1"/>
  <c r="Q869" i="5" s="1"/>
  <c r="L883" i="5"/>
  <c r="M883" i="5" s="1"/>
  <c r="O883" i="5"/>
  <c r="P883" i="5" s="1"/>
  <c r="Q883" i="5" s="1"/>
  <c r="L921" i="5"/>
  <c r="M921" i="5" s="1"/>
  <c r="O921" i="5"/>
  <c r="P921" i="5" s="1"/>
  <c r="Q921" i="5" s="1"/>
  <c r="L920" i="5"/>
  <c r="M920" i="5" s="1"/>
  <c r="O920" i="5"/>
  <c r="P920" i="5" s="1"/>
  <c r="Q920" i="5" s="1"/>
  <c r="L868" i="5"/>
  <c r="M868" i="5" s="1"/>
  <c r="O868" i="5"/>
  <c r="P868" i="5" s="1"/>
  <c r="Q868" i="5" s="1"/>
  <c r="L802" i="5"/>
  <c r="M802" i="5" s="1"/>
  <c r="O802" i="5"/>
  <c r="P802" i="5" s="1"/>
  <c r="Q802" i="5" s="1"/>
  <c r="L800" i="5"/>
  <c r="M800" i="5" s="1"/>
  <c r="O800" i="5"/>
  <c r="P800" i="5" s="1"/>
  <c r="Q800" i="5" s="1"/>
  <c r="L796" i="5"/>
  <c r="M796" i="5" s="1"/>
  <c r="O796" i="5"/>
  <c r="P796" i="5" s="1"/>
  <c r="Q796" i="5" s="1"/>
  <c r="L843" i="5"/>
  <c r="M843" i="5" s="1"/>
  <c r="O843" i="5"/>
  <c r="P843" i="5" s="1"/>
  <c r="Q843" i="5" s="1"/>
  <c r="L882" i="5"/>
  <c r="M882" i="5" s="1"/>
  <c r="O882" i="5"/>
  <c r="P882" i="5" s="1"/>
  <c r="Q882" i="5" s="1"/>
  <c r="L881" i="5"/>
  <c r="M881" i="5" s="1"/>
  <c r="O881" i="5"/>
  <c r="P881" i="5" s="1"/>
  <c r="Q881" i="5" s="1"/>
  <c r="L924" i="5"/>
  <c r="M924" i="5" s="1"/>
  <c r="O924" i="5"/>
  <c r="P924" i="5" s="1"/>
  <c r="Q924" i="5" s="1"/>
  <c r="L794" i="5"/>
  <c r="M794" i="5" s="1"/>
  <c r="O794" i="5"/>
  <c r="P794" i="5" s="1"/>
  <c r="Q794" i="5" s="1"/>
  <c r="L118" i="5"/>
  <c r="M118" i="5" s="1"/>
  <c r="O118" i="5"/>
  <c r="P118" i="5" s="1"/>
  <c r="Q118" i="5" s="1"/>
  <c r="L859" i="5"/>
  <c r="M859" i="5" s="1"/>
  <c r="O859" i="5"/>
  <c r="P859" i="5" s="1"/>
  <c r="Q859" i="5" s="1"/>
  <c r="L842" i="5"/>
  <c r="M842" i="5" s="1"/>
  <c r="O842" i="5"/>
  <c r="P842" i="5" s="1"/>
  <c r="Q842" i="5" s="1"/>
  <c r="L901" i="5"/>
  <c r="M901" i="5" s="1"/>
  <c r="O901" i="5"/>
  <c r="P901" i="5" s="1"/>
  <c r="Q901" i="5" s="1"/>
  <c r="L903" i="5"/>
  <c r="M903" i="5" s="1"/>
  <c r="O903" i="5"/>
  <c r="P903" i="5" s="1"/>
  <c r="Q903" i="5" s="1"/>
  <c r="L58" i="5"/>
  <c r="M58" i="5" s="1"/>
  <c r="O58" i="5"/>
  <c r="P58" i="5" s="1"/>
  <c r="Q58" i="5" s="1"/>
  <c r="L902" i="5"/>
  <c r="M902" i="5" s="1"/>
  <c r="O902" i="5"/>
  <c r="P902" i="5" s="1"/>
  <c r="Q902" i="5" s="1"/>
  <c r="L905" i="5"/>
  <c r="M905" i="5" s="1"/>
  <c r="O905" i="5"/>
  <c r="P905" i="5" s="1"/>
  <c r="Q905" i="5" s="1"/>
  <c r="L112" i="5"/>
  <c r="M112" i="5" s="1"/>
  <c r="O112" i="5"/>
  <c r="P112" i="5" s="1"/>
  <c r="Q112" i="5" s="1"/>
  <c r="L104" i="5"/>
  <c r="M104" i="5" s="1"/>
  <c r="O104" i="5"/>
  <c r="P104" i="5" s="1"/>
  <c r="Q104" i="5" s="1"/>
  <c r="L110" i="5"/>
  <c r="M110" i="5" s="1"/>
  <c r="O110" i="5"/>
  <c r="P110" i="5" s="1"/>
  <c r="Q110" i="5" s="1"/>
  <c r="L943" i="5"/>
  <c r="M943" i="5" s="1"/>
  <c r="O943" i="5"/>
  <c r="P943" i="5" s="1"/>
  <c r="Q943" i="5" s="1"/>
  <c r="L930" i="5"/>
  <c r="M930" i="5" s="1"/>
  <c r="O930" i="5"/>
  <c r="P930" i="5" s="1"/>
  <c r="Q930" i="5" s="1"/>
  <c r="L951" i="5"/>
  <c r="M951" i="5" s="1"/>
  <c r="O951" i="5"/>
  <c r="P951" i="5" s="1"/>
  <c r="Q951" i="5" s="1"/>
  <c r="L959" i="5"/>
  <c r="M959" i="5" s="1"/>
  <c r="O959" i="5"/>
  <c r="P959" i="5" s="1"/>
  <c r="Q959" i="5" s="1"/>
  <c r="L956" i="5"/>
  <c r="M956" i="5" s="1"/>
  <c r="O956" i="5"/>
  <c r="P956" i="5" s="1"/>
  <c r="Q956" i="5" s="1"/>
  <c r="L939" i="5"/>
  <c r="M939" i="5" s="1"/>
  <c r="O939" i="5"/>
  <c r="P939" i="5" s="1"/>
  <c r="Q939" i="5" s="1"/>
  <c r="L946" i="5"/>
  <c r="M946" i="5" s="1"/>
  <c r="O946" i="5"/>
  <c r="P946" i="5" s="1"/>
  <c r="Q946" i="5" s="1"/>
  <c r="L945" i="5"/>
  <c r="M945" i="5" s="1"/>
  <c r="O945" i="5"/>
  <c r="P945" i="5" s="1"/>
  <c r="Q945" i="5" s="1"/>
  <c r="L934" i="5"/>
  <c r="M934" i="5" s="1"/>
  <c r="O934" i="5"/>
  <c r="P934" i="5" s="1"/>
  <c r="Q934" i="5" s="1"/>
  <c r="L933" i="5"/>
  <c r="M933" i="5" s="1"/>
  <c r="O933" i="5"/>
  <c r="P933" i="5" s="1"/>
  <c r="Q933" i="5" s="1"/>
  <c r="L944" i="5"/>
  <c r="M944" i="5" s="1"/>
  <c r="O944" i="5"/>
  <c r="P944" i="5" s="1"/>
  <c r="Q944" i="5" s="1"/>
  <c r="L935" i="5"/>
  <c r="M935" i="5" s="1"/>
  <c r="O935" i="5"/>
  <c r="P935" i="5" s="1"/>
  <c r="Q935" i="5" s="1"/>
  <c r="L893" i="5"/>
  <c r="M893" i="5" s="1"/>
  <c r="O893" i="5"/>
  <c r="P893" i="5" s="1"/>
  <c r="Q893" i="5" s="1"/>
  <c r="L942" i="5"/>
  <c r="M942" i="5" s="1"/>
  <c r="O942" i="5"/>
  <c r="P942" i="5" s="1"/>
  <c r="Q942" i="5" s="1"/>
  <c r="L940" i="5"/>
  <c r="M940" i="5" s="1"/>
  <c r="O940" i="5"/>
  <c r="P940" i="5" s="1"/>
  <c r="Q940" i="5" s="1"/>
  <c r="L936" i="5"/>
  <c r="M936" i="5" s="1"/>
  <c r="O936" i="5"/>
  <c r="P936" i="5" s="1"/>
  <c r="Q936" i="5" s="1"/>
  <c r="L937" i="5"/>
  <c r="M937" i="5" s="1"/>
  <c r="O937" i="5"/>
  <c r="P937" i="5" s="1"/>
  <c r="Q937" i="5" s="1"/>
  <c r="L938" i="5"/>
  <c r="M938" i="5" s="1"/>
  <c r="O938" i="5"/>
  <c r="P938" i="5" s="1"/>
  <c r="Q938" i="5" s="1"/>
  <c r="L931" i="5"/>
  <c r="M931" i="5" s="1"/>
  <c r="O931" i="5"/>
  <c r="P931" i="5" s="1"/>
  <c r="Q931" i="5" s="1"/>
  <c r="L932" i="5"/>
  <c r="M932" i="5" s="1"/>
  <c r="O932" i="5"/>
  <c r="P932" i="5" s="1"/>
  <c r="Q932" i="5" s="1"/>
  <c r="L105" i="5"/>
  <c r="M105" i="5" s="1"/>
  <c r="O105" i="5"/>
  <c r="P105" i="5" s="1"/>
  <c r="Q105" i="5" s="1"/>
  <c r="L33" i="5"/>
  <c r="M33" i="5" s="1"/>
  <c r="O33" i="5"/>
  <c r="P33" i="5" s="1"/>
  <c r="Q33" i="5" s="1"/>
  <c r="L979" i="5"/>
  <c r="M979" i="5" s="1"/>
  <c r="O979" i="5"/>
  <c r="P979" i="5" s="1"/>
  <c r="Q979" i="5" s="1"/>
  <c r="L106" i="5"/>
  <c r="M106" i="5" s="1"/>
  <c r="O106" i="5"/>
  <c r="P106" i="5" s="1"/>
  <c r="Q106" i="5" s="1"/>
  <c r="L941" i="5"/>
  <c r="M941" i="5" s="1"/>
  <c r="O941" i="5"/>
  <c r="P941" i="5" s="1"/>
  <c r="Q941" i="5" s="1"/>
  <c r="L34" i="5"/>
  <c r="M34" i="5" s="1"/>
  <c r="O34" i="5"/>
  <c r="P34" i="5" s="1"/>
  <c r="Q34" i="5" s="1"/>
  <c r="L113" i="5"/>
  <c r="M113" i="5" s="1"/>
  <c r="O113" i="5"/>
  <c r="P113" i="5" s="1"/>
  <c r="Q113" i="5" s="1"/>
  <c r="L111" i="5"/>
  <c r="M111" i="5" s="1"/>
  <c r="O111" i="5"/>
  <c r="P111" i="5" s="1"/>
  <c r="Q111" i="5" s="1"/>
  <c r="L109" i="5"/>
  <c r="M109" i="5" s="1"/>
  <c r="O109" i="5"/>
  <c r="P109" i="5" s="1"/>
  <c r="Q109" i="5" s="1"/>
  <c r="L896" i="5"/>
  <c r="M896" i="5" s="1"/>
  <c r="O896" i="5"/>
  <c r="P896" i="5" s="1"/>
  <c r="Q896" i="5" s="1"/>
  <c r="L35" i="5"/>
  <c r="M35" i="5" s="1"/>
  <c r="O35" i="5"/>
  <c r="P35" i="5" s="1"/>
  <c r="Q35" i="5" s="1"/>
  <c r="L203" i="5"/>
  <c r="M203" i="5" s="1"/>
  <c r="O203" i="5"/>
  <c r="P203" i="5" s="1"/>
  <c r="Q203" i="5" s="1"/>
  <c r="L894" i="5"/>
  <c r="M894" i="5" s="1"/>
  <c r="O894" i="5"/>
  <c r="P894" i="5" s="1"/>
  <c r="Q894" i="5" s="1"/>
  <c r="L204" i="5"/>
  <c r="M204" i="5" s="1"/>
  <c r="O204" i="5"/>
  <c r="P204" i="5" s="1"/>
  <c r="Q204" i="5" s="1"/>
  <c r="L27" i="5"/>
  <c r="M27" i="5" s="1"/>
  <c r="O27" i="5"/>
  <c r="P27" i="5" s="1"/>
  <c r="Q27" i="5" s="1"/>
  <c r="L108" i="5"/>
  <c r="M108" i="5" s="1"/>
  <c r="O108" i="5"/>
  <c r="P108" i="5" s="1"/>
  <c r="Q108" i="5" s="1"/>
  <c r="L36" i="5"/>
  <c r="M36" i="5" s="1"/>
  <c r="O36" i="5"/>
  <c r="P36" i="5" s="1"/>
  <c r="Q36" i="5" s="1"/>
  <c r="L792" i="5"/>
  <c r="M792" i="5" s="1"/>
  <c r="O792" i="5"/>
  <c r="P792" i="5" s="1"/>
  <c r="Q792" i="5" s="1"/>
  <c r="L37" i="5"/>
  <c r="M37" i="5" s="1"/>
  <c r="O37" i="5"/>
  <c r="P37" i="5" s="1"/>
  <c r="Q37" i="5" s="1"/>
  <c r="L130" i="5"/>
  <c r="M130" i="5" s="1"/>
  <c r="O130" i="5"/>
  <c r="P130" i="5" s="1"/>
  <c r="Q130" i="5" s="1"/>
  <c r="L142" i="5"/>
  <c r="M142" i="5" s="1"/>
  <c r="O142" i="5"/>
  <c r="P142" i="5" s="1"/>
  <c r="Q142" i="5" s="1"/>
  <c r="L892" i="5"/>
  <c r="M892" i="5" s="1"/>
  <c r="O892" i="5"/>
  <c r="P892" i="5" s="1"/>
  <c r="Q892" i="5" s="1"/>
  <c r="L201" i="5"/>
  <c r="M201" i="5" s="1"/>
  <c r="O201" i="5"/>
  <c r="P201" i="5" s="1"/>
  <c r="Q201" i="5" s="1"/>
  <c r="L199" i="5"/>
  <c r="M199" i="5" s="1"/>
  <c r="O199" i="5"/>
  <c r="P199" i="5" s="1"/>
  <c r="Q199" i="5" s="1"/>
  <c r="L928" i="5"/>
  <c r="M928" i="5" s="1"/>
  <c r="O928" i="5"/>
  <c r="P928" i="5" s="1"/>
  <c r="Q928" i="5" s="1"/>
  <c r="L45" i="5"/>
  <c r="M45" i="5" s="1"/>
  <c r="O45" i="5"/>
  <c r="P45" i="5" s="1"/>
  <c r="Q45" i="5" s="1"/>
  <c r="L929" i="5"/>
  <c r="M929" i="5" s="1"/>
  <c r="O929" i="5"/>
  <c r="P929" i="5" s="1"/>
  <c r="Q929" i="5" s="1"/>
  <c r="L194" i="5"/>
  <c r="M194" i="5" s="1"/>
  <c r="O194" i="5"/>
  <c r="P194" i="5" s="1"/>
  <c r="Q194" i="5" s="1"/>
  <c r="L895" i="5"/>
  <c r="M895" i="5" s="1"/>
  <c r="O895" i="5"/>
  <c r="P895" i="5" s="1"/>
  <c r="Q895" i="5" s="1"/>
  <c r="L891" i="5"/>
  <c r="M891" i="5" s="1"/>
  <c r="O891" i="5"/>
  <c r="P891" i="5" s="1"/>
  <c r="Q891" i="5" s="1"/>
  <c r="L208" i="5"/>
  <c r="M208" i="5" s="1"/>
  <c r="O208" i="5"/>
  <c r="P208" i="5" s="1"/>
  <c r="Q208" i="5" s="1"/>
  <c r="L32" i="5"/>
  <c r="M32" i="5" s="1"/>
  <c r="O32" i="5"/>
  <c r="P32" i="5" s="1"/>
  <c r="Q32" i="5" s="1"/>
  <c r="L26" i="5"/>
  <c r="M26" i="5" s="1"/>
  <c r="O26" i="5"/>
  <c r="P26" i="5" s="1"/>
  <c r="Q26" i="5" s="1"/>
  <c r="L103" i="5"/>
  <c r="M103" i="5" s="1"/>
  <c r="O103" i="5"/>
  <c r="P103" i="5" s="1"/>
  <c r="Q103" i="5" s="1"/>
  <c r="L196" i="5"/>
  <c r="M196" i="5" s="1"/>
  <c r="O196" i="5"/>
  <c r="P196" i="5" s="1"/>
  <c r="Q196" i="5" s="1"/>
  <c r="L131" i="5"/>
  <c r="M131" i="5" s="1"/>
  <c r="O131" i="5"/>
  <c r="P131" i="5" s="1"/>
  <c r="Q131" i="5" s="1"/>
  <c r="L209" i="5"/>
  <c r="M209" i="5" s="1"/>
  <c r="O209" i="5"/>
  <c r="P209" i="5" s="1"/>
  <c r="Q209" i="5" s="1"/>
  <c r="L117" i="5"/>
  <c r="M117" i="5" s="1"/>
  <c r="O117" i="5"/>
  <c r="P117" i="5" s="1"/>
  <c r="Q117" i="5" s="1"/>
  <c r="L217" i="5"/>
  <c r="M217" i="5" s="1"/>
  <c r="O217" i="5"/>
  <c r="P217" i="5" s="1"/>
  <c r="Q217" i="5" s="1"/>
  <c r="L218" i="5"/>
  <c r="M218" i="5" s="1"/>
  <c r="O218" i="5"/>
  <c r="P218" i="5" s="1"/>
  <c r="Q218" i="5" s="1"/>
  <c r="L188" i="5"/>
  <c r="M188" i="5" s="1"/>
  <c r="L124" i="5"/>
  <c r="M124" i="5" s="1"/>
  <c r="O124" i="5"/>
  <c r="P124" i="5" s="1"/>
  <c r="Q124" i="5" s="1"/>
  <c r="L189" i="5"/>
  <c r="M189" i="5" s="1"/>
  <c r="O189" i="5"/>
  <c r="P189" i="5" s="1"/>
  <c r="Q189" i="5" s="1"/>
  <c r="L13" i="5"/>
  <c r="M13" i="5" s="1"/>
  <c r="O13" i="5"/>
  <c r="P13" i="5" s="1"/>
  <c r="Q13" i="5" s="1"/>
  <c r="L144" i="5"/>
  <c r="M144" i="5" s="1"/>
  <c r="O144" i="5"/>
  <c r="P144" i="5" s="1"/>
  <c r="Q144" i="5" s="1"/>
  <c r="L1005" i="5"/>
  <c r="M1005" i="5" s="1"/>
  <c r="O1005" i="5"/>
  <c r="P1005" i="5" s="1"/>
  <c r="Q1005" i="5" s="1"/>
  <c r="L1006" i="5"/>
  <c r="M1006" i="5" s="1"/>
  <c r="O1006" i="5"/>
  <c r="P1006" i="5" s="1"/>
  <c r="Q1006" i="5" s="1"/>
  <c r="L1007" i="5"/>
  <c r="M1007" i="5" s="1"/>
  <c r="O1007" i="5"/>
  <c r="L1008" i="5"/>
  <c r="M1008" i="5" s="1"/>
  <c r="O1008" i="5"/>
  <c r="P1008" i="5" s="1"/>
  <c r="Q1008" i="5" s="1"/>
  <c r="L1009" i="5"/>
  <c r="M1009" i="5" s="1"/>
  <c r="O1009" i="5"/>
  <c r="P1009" i="5" s="1"/>
  <c r="L1010" i="5"/>
  <c r="M1010" i="5" s="1"/>
  <c r="O1010" i="5"/>
  <c r="P1010" i="5" s="1"/>
  <c r="Q1010" i="5" s="1"/>
  <c r="L1011" i="5"/>
  <c r="M1011" i="5" s="1"/>
  <c r="O1011" i="5"/>
  <c r="P1011" i="5" s="1"/>
  <c r="Q1011" i="5" s="1"/>
  <c r="L1012" i="5"/>
  <c r="M1012" i="5" s="1"/>
  <c r="O1012" i="5"/>
  <c r="P1012" i="5" s="1"/>
  <c r="Q1012" i="5" s="1"/>
  <c r="L983" i="5"/>
  <c r="M983" i="5" s="1"/>
  <c r="O983" i="5"/>
  <c r="P983" i="5" s="1"/>
  <c r="Q983" i="5" s="1"/>
  <c r="L984" i="5"/>
  <c r="M984" i="5" s="1"/>
  <c r="O984" i="5"/>
  <c r="P984" i="5" s="1"/>
  <c r="Q984" i="5" s="1"/>
  <c r="L985" i="5"/>
  <c r="M985" i="5" s="1"/>
  <c r="O985" i="5"/>
  <c r="P985" i="5" s="1"/>
  <c r="Q985" i="5" s="1"/>
  <c r="L986" i="5"/>
  <c r="M986" i="5" s="1"/>
  <c r="O986" i="5"/>
  <c r="P986" i="5" s="1"/>
  <c r="Q986" i="5" s="1"/>
  <c r="L987" i="5"/>
  <c r="M987" i="5" s="1"/>
  <c r="O987" i="5"/>
  <c r="P987" i="5" s="1"/>
  <c r="Q987" i="5" s="1"/>
  <c r="L988" i="5"/>
  <c r="M988" i="5" s="1"/>
  <c r="O988" i="5"/>
  <c r="P988" i="5" s="1"/>
  <c r="Q988" i="5" s="1"/>
  <c r="L989" i="5"/>
  <c r="M989" i="5" s="1"/>
  <c r="O989" i="5"/>
  <c r="P989" i="5" s="1"/>
  <c r="Q989" i="5" s="1"/>
  <c r="L990" i="5"/>
  <c r="M990" i="5" s="1"/>
  <c r="O990" i="5"/>
  <c r="P990" i="5" s="1"/>
  <c r="Q990" i="5" s="1"/>
  <c r="L991" i="5"/>
  <c r="M991" i="5" s="1"/>
  <c r="O991" i="5"/>
  <c r="P991" i="5" s="1"/>
  <c r="Q991" i="5" s="1"/>
  <c r="L992" i="5"/>
  <c r="M992" i="5" s="1"/>
  <c r="O992" i="5"/>
  <c r="P992" i="5" s="1"/>
  <c r="Q992" i="5" s="1"/>
  <c r="L993" i="5"/>
  <c r="M993" i="5" s="1"/>
  <c r="O993" i="5"/>
  <c r="P993" i="5" s="1"/>
  <c r="Q993" i="5" s="1"/>
  <c r="L994" i="5"/>
  <c r="M994" i="5" s="1"/>
  <c r="O994" i="5"/>
  <c r="P994" i="5" s="1"/>
  <c r="Q994" i="5" s="1"/>
  <c r="L995" i="5"/>
  <c r="M995" i="5" s="1"/>
  <c r="O995" i="5"/>
  <c r="P995" i="5" s="1"/>
  <c r="Q995" i="5" s="1"/>
  <c r="L996" i="5"/>
  <c r="M996" i="5" s="1"/>
  <c r="O996" i="5"/>
  <c r="P996" i="5" s="1"/>
  <c r="Q996" i="5" s="1"/>
  <c r="L239" i="5"/>
  <c r="M239" i="5" s="1"/>
  <c r="O239" i="5"/>
  <c r="P239" i="5" s="1"/>
  <c r="Q239" i="5" s="1"/>
  <c r="L997" i="5"/>
  <c r="M997" i="5" s="1"/>
  <c r="O997" i="5"/>
  <c r="P997" i="5" s="1"/>
  <c r="Q997" i="5" s="1"/>
  <c r="L998" i="5"/>
  <c r="M998" i="5" s="1"/>
  <c r="O998" i="5"/>
  <c r="P998" i="5" s="1"/>
  <c r="Q998" i="5" s="1"/>
  <c r="L999" i="5"/>
  <c r="M999" i="5" s="1"/>
  <c r="O999" i="5"/>
  <c r="P999" i="5" s="1"/>
  <c r="Q999" i="5" s="1"/>
  <c r="L1000" i="5"/>
  <c r="M1000" i="5" s="1"/>
  <c r="O1000" i="5"/>
  <c r="P1000" i="5" s="1"/>
  <c r="Q1000" i="5" s="1"/>
  <c r="L240" i="5"/>
  <c r="M240" i="5" s="1"/>
  <c r="O240" i="5"/>
  <c r="P240" i="5" s="1"/>
  <c r="Q240" i="5" s="1"/>
  <c r="L241" i="5"/>
  <c r="M241" i="5" s="1"/>
  <c r="O241" i="5"/>
  <c r="P241" i="5" s="1"/>
  <c r="Q241" i="5" s="1"/>
  <c r="L1036" i="5"/>
  <c r="M1036" i="5" s="1"/>
  <c r="O1036" i="5"/>
  <c r="P1036" i="5" s="1"/>
  <c r="Q1036" i="5" s="1"/>
  <c r="L242" i="5"/>
  <c r="M242" i="5" s="1"/>
  <c r="O242" i="5"/>
  <c r="P242" i="5" s="1"/>
  <c r="Q242" i="5" s="1"/>
  <c r="L1038" i="5"/>
  <c r="M1038" i="5" s="1"/>
  <c r="O1038" i="5"/>
  <c r="P1038" i="5" s="1"/>
  <c r="Q1038" i="5" s="1"/>
  <c r="L1039" i="5"/>
  <c r="M1039" i="5" s="1"/>
  <c r="O1039" i="5"/>
  <c r="P1039" i="5" s="1"/>
  <c r="Q1039" i="5" s="1"/>
  <c r="L1040" i="5"/>
  <c r="M1040" i="5" s="1"/>
  <c r="O1040" i="5"/>
  <c r="P1040" i="5" s="1"/>
  <c r="Q1040" i="5" s="1"/>
  <c r="L1041" i="5"/>
  <c r="M1041" i="5" s="1"/>
  <c r="O1041" i="5"/>
  <c r="P1041" i="5" s="1"/>
  <c r="Q1041" i="5" s="1"/>
  <c r="L1042" i="5"/>
  <c r="M1042" i="5" s="1"/>
  <c r="O1042" i="5"/>
  <c r="P1042" i="5" s="1"/>
  <c r="Q1042" i="5" s="1"/>
  <c r="L1044" i="5"/>
  <c r="M1044" i="5" s="1"/>
  <c r="O1044" i="5"/>
  <c r="P1044" i="5" s="1"/>
  <c r="Q1044" i="5" s="1"/>
  <c r="L1045" i="5"/>
  <c r="M1045" i="5" s="1"/>
  <c r="O1045" i="5"/>
  <c r="P1045" i="5" s="1"/>
  <c r="Q1045" i="5" s="1"/>
  <c r="L244" i="5"/>
  <c r="M244" i="5" s="1"/>
  <c r="O244" i="5"/>
  <c r="P244" i="5" s="1"/>
  <c r="Q244" i="5" s="1"/>
  <c r="L245" i="5"/>
  <c r="M245" i="5" s="1"/>
  <c r="O245" i="5"/>
  <c r="P245" i="5" s="1"/>
  <c r="Q245" i="5" s="1"/>
  <c r="L1046" i="5"/>
  <c r="M1046" i="5" s="1"/>
  <c r="O1046" i="5"/>
  <c r="P1046" i="5" s="1"/>
  <c r="Q1046" i="5" s="1"/>
  <c r="L1047" i="5"/>
  <c r="M1047" i="5" s="1"/>
  <c r="O1047" i="5"/>
  <c r="P1047" i="5" s="1"/>
  <c r="Q1047" i="5" s="1"/>
  <c r="L1048" i="5"/>
  <c r="M1048" i="5" s="1"/>
  <c r="O1048" i="5"/>
  <c r="P1048" i="5" s="1"/>
  <c r="Q1048" i="5" s="1"/>
  <c r="L246" i="5"/>
  <c r="M246" i="5" s="1"/>
  <c r="O246" i="5"/>
  <c r="P246" i="5" s="1"/>
  <c r="Q246" i="5" s="1"/>
  <c r="L247" i="5"/>
  <c r="M247" i="5" s="1"/>
  <c r="O247" i="5"/>
  <c r="P247" i="5" s="1"/>
  <c r="Q247" i="5" s="1"/>
  <c r="L1050" i="5"/>
  <c r="M1050" i="5" s="1"/>
  <c r="O1050" i="5"/>
  <c r="P1050" i="5" s="1"/>
  <c r="Q1050" i="5" s="1"/>
  <c r="L1051" i="5"/>
  <c r="M1051" i="5" s="1"/>
  <c r="O1051" i="5"/>
  <c r="P1051" i="5" s="1"/>
  <c r="Q1051" i="5" s="1"/>
  <c r="L1053" i="5"/>
  <c r="M1053" i="5" s="1"/>
  <c r="O1053" i="5"/>
  <c r="P1053" i="5" s="1"/>
  <c r="Q1053" i="5" s="1"/>
  <c r="L734" i="5"/>
  <c r="O734" i="5"/>
  <c r="P734" i="5" s="1"/>
  <c r="Q734" i="5" s="1"/>
  <c r="L1091" i="5"/>
  <c r="M1091" i="5" s="1"/>
  <c r="O1091" i="5"/>
  <c r="P1091" i="5" s="1"/>
  <c r="Q1091" i="5" s="1"/>
  <c r="L1108" i="5"/>
  <c r="M1108" i="5" s="1"/>
  <c r="O1108" i="5"/>
  <c r="P1108" i="5" s="1"/>
  <c r="Q1108" i="5" s="1"/>
  <c r="L279" i="5"/>
  <c r="M279" i="5" s="1"/>
  <c r="O279" i="5"/>
  <c r="P279" i="5" s="1"/>
  <c r="Q279" i="5" s="1"/>
  <c r="L281" i="5"/>
  <c r="M281" i="5" s="1"/>
  <c r="O281" i="5"/>
  <c r="P281" i="5" s="1"/>
  <c r="Q281" i="5" s="1"/>
  <c r="L283" i="5"/>
  <c r="M283" i="5" s="1"/>
  <c r="O283" i="5"/>
  <c r="P283" i="5" s="1"/>
  <c r="Q283" i="5" s="1"/>
  <c r="L284" i="5"/>
  <c r="M284" i="5" s="1"/>
  <c r="O284" i="5"/>
  <c r="P284" i="5" s="1"/>
  <c r="Q284" i="5" s="1"/>
  <c r="L291" i="5"/>
  <c r="M291" i="5" s="1"/>
  <c r="O291" i="5"/>
  <c r="P291" i="5" s="1"/>
  <c r="Q291" i="5" s="1"/>
  <c r="L294" i="5"/>
  <c r="M294" i="5" s="1"/>
  <c r="L298" i="5"/>
  <c r="M298" i="5" s="1"/>
  <c r="O298" i="5"/>
  <c r="P298" i="5" s="1"/>
  <c r="Q298" i="5" s="1"/>
  <c r="L303" i="5"/>
  <c r="M303" i="5" s="1"/>
  <c r="O303" i="5"/>
  <c r="P303" i="5" s="1"/>
  <c r="Q303" i="5" s="1"/>
  <c r="L304" i="5"/>
  <c r="M304" i="5" s="1"/>
  <c r="O304" i="5"/>
  <c r="P304" i="5" s="1"/>
  <c r="Q304" i="5" s="1"/>
  <c r="L308" i="5"/>
  <c r="M308" i="5" s="1"/>
  <c r="O308" i="5"/>
  <c r="P308" i="5" s="1"/>
  <c r="Q308" i="5" s="1"/>
  <c r="L314" i="5"/>
  <c r="M314" i="5" s="1"/>
  <c r="O314" i="5"/>
  <c r="P314" i="5" s="1"/>
  <c r="Q314" i="5" s="1"/>
  <c r="L315" i="5"/>
  <c r="M315" i="5" s="1"/>
  <c r="O315" i="5"/>
  <c r="P315" i="5" s="1"/>
  <c r="Q315" i="5" s="1"/>
  <c r="L316" i="5"/>
  <c r="M316" i="5" s="1"/>
  <c r="O316" i="5"/>
  <c r="P316" i="5" s="1"/>
  <c r="Q316" i="5" s="1"/>
  <c r="L317" i="5"/>
  <c r="M317" i="5" s="1"/>
  <c r="O317" i="5"/>
  <c r="P317" i="5" s="1"/>
  <c r="Q317" i="5" s="1"/>
  <c r="L318" i="5"/>
  <c r="M318" i="5" s="1"/>
  <c r="O318" i="5"/>
  <c r="P318" i="5" s="1"/>
  <c r="Q318" i="5" s="1"/>
  <c r="L319" i="5"/>
  <c r="M319" i="5" s="1"/>
  <c r="O319" i="5"/>
  <c r="P319" i="5" s="1"/>
  <c r="Q319" i="5" s="1"/>
  <c r="L322" i="5"/>
  <c r="M322" i="5" s="1"/>
  <c r="O322" i="5"/>
  <c r="P322" i="5" s="1"/>
  <c r="Q322" i="5" s="1"/>
  <c r="L323" i="5"/>
  <c r="M323" i="5" s="1"/>
  <c r="O323" i="5"/>
  <c r="P323" i="5" s="1"/>
  <c r="Q323" i="5" s="1"/>
  <c r="L326" i="5"/>
  <c r="M326" i="5" s="1"/>
  <c r="O326" i="5"/>
  <c r="P326" i="5" s="1"/>
  <c r="Q326" i="5" s="1"/>
  <c r="L328" i="5"/>
  <c r="M328" i="5" s="1"/>
  <c r="O328" i="5"/>
  <c r="P328" i="5" s="1"/>
  <c r="Q328" i="5" s="1"/>
  <c r="L334" i="5"/>
  <c r="M334" i="5" s="1"/>
  <c r="O334" i="5"/>
  <c r="P334" i="5" s="1"/>
  <c r="Q334" i="5" s="1"/>
  <c r="L335" i="5"/>
  <c r="M335" i="5" s="1"/>
  <c r="O335" i="5"/>
  <c r="P335" i="5" s="1"/>
  <c r="Q335" i="5" s="1"/>
  <c r="L336" i="5"/>
  <c r="M336" i="5" s="1"/>
  <c r="O336" i="5"/>
  <c r="P336" i="5" s="1"/>
  <c r="Q336" i="5" s="1"/>
  <c r="L337" i="5"/>
  <c r="M337" i="5" s="1"/>
  <c r="O337" i="5"/>
  <c r="P337" i="5" s="1"/>
  <c r="Q337" i="5" s="1"/>
  <c r="L339" i="5"/>
  <c r="M339" i="5" s="1"/>
  <c r="O339" i="5"/>
  <c r="P339" i="5" s="1"/>
  <c r="Q339" i="5" s="1"/>
  <c r="L340" i="5"/>
  <c r="M340" i="5" s="1"/>
  <c r="O340" i="5"/>
  <c r="P340" i="5" s="1"/>
  <c r="Q340" i="5" s="1"/>
  <c r="L341" i="5"/>
  <c r="M341" i="5" s="1"/>
  <c r="O341" i="5"/>
  <c r="P341" i="5" s="1"/>
  <c r="Q341" i="5" s="1"/>
  <c r="L342" i="5"/>
  <c r="M342" i="5" s="1"/>
  <c r="O342" i="5"/>
  <c r="P342" i="5" s="1"/>
  <c r="Q342" i="5" s="1"/>
  <c r="L1124" i="5"/>
  <c r="M1124" i="5" s="1"/>
  <c r="O1124" i="5"/>
  <c r="P1124" i="5" s="1"/>
  <c r="Q1124" i="5" s="1"/>
  <c r="L1125" i="5"/>
  <c r="M1125" i="5" s="1"/>
  <c r="O1125" i="5"/>
  <c r="P1125" i="5" s="1"/>
  <c r="Q1125" i="5" s="1"/>
  <c r="L1126" i="5"/>
  <c r="M1126" i="5" s="1"/>
  <c r="O1126" i="5"/>
  <c r="P1126" i="5" s="1"/>
  <c r="Q1126" i="5" s="1"/>
  <c r="L1127" i="5"/>
  <c r="M1127" i="5" s="1"/>
  <c r="O1127" i="5"/>
  <c r="P1127" i="5" s="1"/>
  <c r="Q1127" i="5" s="1"/>
  <c r="L1128" i="5"/>
  <c r="M1128" i="5" s="1"/>
  <c r="O1128" i="5"/>
  <c r="P1128" i="5" s="1"/>
  <c r="Q1128" i="5" s="1"/>
  <c r="L1130" i="5"/>
  <c r="M1130" i="5" s="1"/>
  <c r="O1130" i="5"/>
  <c r="P1130" i="5" s="1"/>
  <c r="Q1130" i="5" s="1"/>
  <c r="L1131" i="5"/>
  <c r="M1131" i="5" s="1"/>
  <c r="O1131" i="5"/>
  <c r="P1131" i="5" s="1"/>
  <c r="Q1131" i="5" s="1"/>
  <c r="L1132" i="5"/>
  <c r="M1132" i="5" s="1"/>
  <c r="O1132" i="5"/>
  <c r="P1132" i="5" s="1"/>
  <c r="Q1132" i="5" s="1"/>
  <c r="L1133" i="5"/>
  <c r="M1133" i="5" s="1"/>
  <c r="O1133" i="5"/>
  <c r="P1133" i="5" s="1"/>
  <c r="Q1133" i="5" s="1"/>
  <c r="L1134" i="5"/>
  <c r="M1134" i="5" s="1"/>
  <c r="O1134" i="5"/>
  <c r="P1134" i="5" s="1"/>
  <c r="Q1134" i="5" s="1"/>
  <c r="L1137" i="5"/>
  <c r="M1137" i="5" s="1"/>
  <c r="O1137" i="5"/>
  <c r="P1137" i="5" s="1"/>
  <c r="Q1137" i="5" s="1"/>
  <c r="L1138" i="5"/>
  <c r="M1138" i="5" s="1"/>
  <c r="O1138" i="5"/>
  <c r="P1138" i="5" s="1"/>
  <c r="Q1138" i="5" s="1"/>
  <c r="L1139" i="5"/>
  <c r="M1139" i="5" s="1"/>
  <c r="O1139" i="5"/>
  <c r="P1139" i="5" s="1"/>
  <c r="Q1139" i="5" s="1"/>
  <c r="L1140" i="5"/>
  <c r="M1140" i="5" s="1"/>
  <c r="O1140" i="5"/>
  <c r="P1140" i="5" s="1"/>
  <c r="Q1140" i="5" s="1"/>
  <c r="L1141" i="5"/>
  <c r="M1141" i="5" s="1"/>
  <c r="O1141" i="5"/>
  <c r="P1141" i="5" s="1"/>
  <c r="Q1141" i="5" s="1"/>
  <c r="L1142" i="5"/>
  <c r="M1142" i="5" s="1"/>
  <c r="O1142" i="5"/>
  <c r="P1142" i="5" s="1"/>
  <c r="Q1142" i="5" s="1"/>
  <c r="L1145" i="5"/>
  <c r="M1145" i="5" s="1"/>
  <c r="O1145" i="5"/>
  <c r="P1145" i="5" s="1"/>
  <c r="Q1145" i="5" s="1"/>
  <c r="L1146" i="5"/>
  <c r="M1146" i="5" s="1"/>
  <c r="O1146" i="5"/>
  <c r="P1146" i="5" s="1"/>
  <c r="Q1146" i="5" s="1"/>
  <c r="L1147" i="5"/>
  <c r="M1147" i="5" s="1"/>
  <c r="O1147" i="5"/>
  <c r="P1147" i="5" s="1"/>
  <c r="Q1147" i="5" s="1"/>
  <c r="L1148" i="5"/>
  <c r="M1148" i="5" s="1"/>
  <c r="O1148" i="5"/>
  <c r="P1148" i="5" s="1"/>
  <c r="Q1148" i="5" s="1"/>
  <c r="L1151" i="5"/>
  <c r="M1151" i="5" s="1"/>
  <c r="O1151" i="5"/>
  <c r="P1151" i="5" s="1"/>
  <c r="Q1151" i="5" s="1"/>
  <c r="L402" i="5"/>
  <c r="M402" i="5" s="1"/>
  <c r="O402" i="5"/>
  <c r="P402" i="5" s="1"/>
  <c r="Q402" i="5" s="1"/>
  <c r="L403" i="5"/>
  <c r="M403" i="5" s="1"/>
  <c r="O403" i="5"/>
  <c r="P403" i="5" s="1"/>
  <c r="Q403" i="5" s="1"/>
  <c r="L404" i="5"/>
  <c r="M404" i="5" s="1"/>
  <c r="O404" i="5"/>
  <c r="P404" i="5" s="1"/>
  <c r="Q404" i="5" s="1"/>
  <c r="L406" i="5"/>
  <c r="M406" i="5" s="1"/>
  <c r="O406" i="5"/>
  <c r="P406" i="5" s="1"/>
  <c r="Q406" i="5" s="1"/>
  <c r="L407" i="5"/>
  <c r="M407" i="5" s="1"/>
  <c r="O407" i="5"/>
  <c r="P407" i="5" s="1"/>
  <c r="Q407" i="5" s="1"/>
  <c r="L408" i="5"/>
  <c r="M408" i="5" s="1"/>
  <c r="O408" i="5"/>
  <c r="P408" i="5" s="1"/>
  <c r="Q408" i="5" s="1"/>
  <c r="L409" i="5"/>
  <c r="M409" i="5" s="1"/>
  <c r="O409" i="5"/>
  <c r="P409" i="5" s="1"/>
  <c r="Q409" i="5" s="1"/>
  <c r="L410" i="5"/>
  <c r="M410" i="5" s="1"/>
  <c r="O410" i="5"/>
  <c r="P410" i="5" s="1"/>
  <c r="Q410" i="5" s="1"/>
  <c r="L411" i="5"/>
  <c r="M411" i="5" s="1"/>
  <c r="O411" i="5"/>
  <c r="P411" i="5" s="1"/>
  <c r="Q411" i="5" s="1"/>
  <c r="L412" i="5"/>
  <c r="M412" i="5" s="1"/>
  <c r="O412" i="5"/>
  <c r="P412" i="5" s="1"/>
  <c r="Q412" i="5" s="1"/>
  <c r="L413" i="5"/>
  <c r="M413" i="5" s="1"/>
  <c r="O413" i="5"/>
  <c r="P413" i="5" s="1"/>
  <c r="Q413" i="5" s="1"/>
  <c r="L414" i="5"/>
  <c r="M414" i="5" s="1"/>
  <c r="O414" i="5"/>
  <c r="P414" i="5" s="1"/>
  <c r="Q414" i="5" s="1"/>
  <c r="L401" i="5"/>
  <c r="M401" i="5" s="1"/>
  <c r="O401" i="5"/>
  <c r="P401" i="5" s="1"/>
  <c r="Q401" i="5" s="1"/>
  <c r="L415" i="5"/>
  <c r="M415" i="5" s="1"/>
  <c r="O415" i="5"/>
  <c r="P415" i="5" s="1"/>
  <c r="Q415" i="5" s="1"/>
  <c r="L416" i="5"/>
  <c r="M416" i="5" s="1"/>
  <c r="O416" i="5"/>
  <c r="P416" i="5" s="1"/>
  <c r="Q416" i="5" s="1"/>
  <c r="L417" i="5"/>
  <c r="M417" i="5" s="1"/>
  <c r="O417" i="5"/>
  <c r="P417" i="5" s="1"/>
  <c r="Q417" i="5" s="1"/>
  <c r="L418" i="5"/>
  <c r="M418" i="5" s="1"/>
  <c r="O418" i="5"/>
  <c r="P418" i="5" s="1"/>
  <c r="Q418" i="5" s="1"/>
  <c r="L419" i="5"/>
  <c r="M419" i="5" s="1"/>
  <c r="O419" i="5"/>
  <c r="P419" i="5" s="1"/>
  <c r="Q419" i="5" s="1"/>
  <c r="L420" i="5"/>
  <c r="M420" i="5" s="1"/>
  <c r="O420" i="5"/>
  <c r="P420" i="5" s="1"/>
  <c r="Q420" i="5" s="1"/>
  <c r="L423" i="5"/>
  <c r="M423" i="5" s="1"/>
  <c r="O423" i="5"/>
  <c r="P423" i="5" s="1"/>
  <c r="Q423" i="5" s="1"/>
  <c r="L424" i="5"/>
  <c r="M424" i="5" s="1"/>
  <c r="O424" i="5"/>
  <c r="P424" i="5" s="1"/>
  <c r="Q424" i="5" s="1"/>
  <c r="L425" i="5"/>
  <c r="M425" i="5" s="1"/>
  <c r="O425" i="5"/>
  <c r="P425" i="5" s="1"/>
  <c r="Q425" i="5" s="1"/>
  <c r="L427" i="5"/>
  <c r="M427" i="5" s="1"/>
  <c r="O427" i="5"/>
  <c r="P427" i="5" s="1"/>
  <c r="Q427" i="5" s="1"/>
  <c r="L438" i="5"/>
  <c r="M438" i="5" s="1"/>
  <c r="O438" i="5"/>
  <c r="P438" i="5" s="1"/>
  <c r="Q438" i="5" s="1"/>
  <c r="L1177" i="5"/>
  <c r="M1177" i="5" s="1"/>
  <c r="O1177" i="5"/>
  <c r="P1177" i="5" s="1"/>
  <c r="Q1177" i="5" s="1"/>
  <c r="L1178" i="5"/>
  <c r="M1178" i="5" s="1"/>
  <c r="O1178" i="5"/>
  <c r="P1178" i="5" s="1"/>
  <c r="Q1178" i="5" s="1"/>
  <c r="L440" i="5"/>
  <c r="M440" i="5" s="1"/>
  <c r="O440" i="5"/>
  <c r="P440" i="5" s="1"/>
  <c r="Q440" i="5" s="1"/>
  <c r="L1179" i="5"/>
  <c r="M1179" i="5" s="1"/>
  <c r="O1179" i="5"/>
  <c r="P1179" i="5" s="1"/>
  <c r="Q1179" i="5" s="1"/>
  <c r="L441" i="5"/>
  <c r="M441" i="5" s="1"/>
  <c r="O441" i="5"/>
  <c r="P441" i="5" s="1"/>
  <c r="Q441" i="5" s="1"/>
  <c r="L1180" i="5"/>
  <c r="M1180" i="5" s="1"/>
  <c r="O1180" i="5"/>
  <c r="P1180" i="5" s="1"/>
  <c r="Q1180" i="5" s="1"/>
  <c r="L1181" i="5"/>
  <c r="M1181" i="5" s="1"/>
  <c r="O1181" i="5"/>
  <c r="P1181" i="5" s="1"/>
  <c r="Q1181" i="5" s="1"/>
  <c r="L1182" i="5"/>
  <c r="M1182" i="5" s="1"/>
  <c r="O1182" i="5"/>
  <c r="P1182" i="5" s="1"/>
  <c r="Q1182" i="5" s="1"/>
  <c r="L1183" i="5"/>
  <c r="M1183" i="5" s="1"/>
  <c r="O1183" i="5"/>
  <c r="P1183" i="5" s="1"/>
  <c r="Q1183" i="5" s="1"/>
  <c r="L1184" i="5"/>
  <c r="M1184" i="5" s="1"/>
  <c r="O1184" i="5"/>
  <c r="P1184" i="5" s="1"/>
  <c r="Q1184" i="5" s="1"/>
  <c r="L1185" i="5"/>
  <c r="M1185" i="5" s="1"/>
  <c r="O1185" i="5"/>
  <c r="P1185" i="5" s="1"/>
  <c r="Q1185" i="5" s="1"/>
  <c r="L1186" i="5"/>
  <c r="M1186" i="5" s="1"/>
  <c r="O1186" i="5"/>
  <c r="P1186" i="5" s="1"/>
  <c r="Q1186" i="5" s="1"/>
  <c r="L443" i="5"/>
  <c r="M443" i="5" s="1"/>
  <c r="O443" i="5"/>
  <c r="P443" i="5" s="1"/>
  <c r="Q443" i="5" s="1"/>
  <c r="L1188" i="5"/>
  <c r="M1188" i="5" s="1"/>
  <c r="L1194" i="5"/>
  <c r="M1194" i="5" s="1"/>
  <c r="O1194" i="5"/>
  <c r="P1194" i="5" s="1"/>
  <c r="Q1194" i="5" s="1"/>
  <c r="L444" i="5"/>
  <c r="M444" i="5" s="1"/>
  <c r="O444" i="5"/>
  <c r="P444" i="5" s="1"/>
  <c r="Q444" i="5" s="1"/>
  <c r="L1195" i="5"/>
  <c r="M1195" i="5" s="1"/>
  <c r="O1195" i="5"/>
  <c r="P1195" i="5" s="1"/>
  <c r="Q1195" i="5" s="1"/>
  <c r="L1196" i="5"/>
  <c r="M1196" i="5" s="1"/>
  <c r="O1196" i="5"/>
  <c r="P1196" i="5" s="1"/>
  <c r="Q1196" i="5" s="1"/>
  <c r="L445" i="5"/>
  <c r="M445" i="5" s="1"/>
  <c r="O445" i="5"/>
  <c r="P445" i="5" s="1"/>
  <c r="Q445" i="5" s="1"/>
  <c r="L446" i="5"/>
  <c r="M446" i="5" s="1"/>
  <c r="O446" i="5"/>
  <c r="P446" i="5" s="1"/>
  <c r="Q446" i="5" s="1"/>
  <c r="L447" i="5"/>
  <c r="M447" i="5" s="1"/>
  <c r="O447" i="5"/>
  <c r="P447" i="5" s="1"/>
  <c r="Q447" i="5" s="1"/>
  <c r="L1199" i="5"/>
  <c r="M1199" i="5" s="1"/>
  <c r="O1199" i="5"/>
  <c r="P1199" i="5" s="1"/>
  <c r="Q1199" i="5" s="1"/>
  <c r="L1239" i="5"/>
  <c r="M1239" i="5" s="1"/>
  <c r="O1239" i="5"/>
  <c r="P1239" i="5" s="1"/>
  <c r="Q1239" i="5" s="1"/>
  <c r="L1240" i="5"/>
  <c r="M1240" i="5" s="1"/>
  <c r="O1240" i="5"/>
  <c r="P1240" i="5" s="1"/>
  <c r="Q1240" i="5" s="1"/>
  <c r="L1156" i="5"/>
  <c r="M1156" i="5" s="1"/>
  <c r="O1156" i="5"/>
  <c r="P1156" i="5" s="1"/>
  <c r="Q1156" i="5" s="1"/>
  <c r="L532" i="5"/>
  <c r="M532" i="5" s="1"/>
  <c r="O532" i="5"/>
  <c r="P532" i="5" s="1"/>
  <c r="Q532" i="5" s="1"/>
  <c r="L1258" i="5"/>
  <c r="M1258" i="5" s="1"/>
  <c r="O1258" i="5"/>
  <c r="P1258" i="5" s="1"/>
  <c r="Q1258" i="5" s="1"/>
  <c r="L1241" i="5"/>
  <c r="M1241" i="5" s="1"/>
  <c r="O1241" i="5"/>
  <c r="P1241" i="5" s="1"/>
  <c r="L1242" i="5"/>
  <c r="M1242" i="5" s="1"/>
  <c r="O1242" i="5"/>
  <c r="P1242" i="5" s="1"/>
  <c r="Q1242" i="5" s="1"/>
  <c r="L1262" i="5"/>
  <c r="M1262" i="5" s="1"/>
  <c r="O1262" i="5"/>
  <c r="P1262" i="5" s="1"/>
  <c r="Q1262" i="5" s="1"/>
  <c r="L1243" i="5"/>
  <c r="M1243" i="5" s="1"/>
  <c r="O1243" i="5"/>
  <c r="P1243" i="5" s="1"/>
  <c r="Q1243" i="5" s="1"/>
  <c r="L1244" i="5"/>
  <c r="M1244" i="5" s="1"/>
  <c r="O1244" i="5"/>
  <c r="P1244" i="5" s="1"/>
  <c r="Q1244" i="5" s="1"/>
  <c r="L1155" i="5"/>
  <c r="M1155" i="5" s="1"/>
  <c r="O1155" i="5"/>
  <c r="P1155" i="5" s="1"/>
  <c r="Q1155" i="5" s="1"/>
  <c r="L1245" i="5"/>
  <c r="M1245" i="5" s="1"/>
  <c r="O1245" i="5"/>
  <c r="P1245" i="5" s="1"/>
  <c r="Q1245" i="5" s="1"/>
  <c r="L1247" i="5"/>
  <c r="M1247" i="5" s="1"/>
  <c r="O1247" i="5"/>
  <c r="P1247" i="5" s="1"/>
  <c r="Q1247" i="5" s="1"/>
  <c r="L535" i="5"/>
  <c r="M535" i="5" s="1"/>
  <c r="O535" i="5"/>
  <c r="P535" i="5" s="1"/>
  <c r="Q535" i="5" s="1"/>
  <c r="L536" i="5"/>
  <c r="M536" i="5" s="1"/>
  <c r="O536" i="5"/>
  <c r="P536" i="5" s="1"/>
  <c r="Q536" i="5" s="1"/>
  <c r="L537" i="5"/>
  <c r="M537" i="5" s="1"/>
  <c r="O537" i="5"/>
  <c r="P537" i="5" s="1"/>
  <c r="Q537" i="5" s="1"/>
  <c r="L538" i="5"/>
  <c r="M538" i="5" s="1"/>
  <c r="O538" i="5"/>
  <c r="P538" i="5" s="1"/>
  <c r="Q538" i="5" s="1"/>
  <c r="L539" i="5"/>
  <c r="M539" i="5" s="1"/>
  <c r="O539" i="5"/>
  <c r="P539" i="5" s="1"/>
  <c r="Q539" i="5" s="1"/>
  <c r="L540" i="5"/>
  <c r="M540" i="5" s="1"/>
  <c r="O540" i="5"/>
  <c r="P540" i="5" s="1"/>
  <c r="Q540" i="5" s="1"/>
  <c r="L541" i="5"/>
  <c r="M541" i="5" s="1"/>
  <c r="O541" i="5"/>
  <c r="P541" i="5" s="1"/>
  <c r="Q541" i="5" s="1"/>
  <c r="L542" i="5"/>
  <c r="M542" i="5" s="1"/>
  <c r="O542" i="5"/>
  <c r="P542" i="5" s="1"/>
  <c r="Q542" i="5" s="1"/>
  <c r="L543" i="5"/>
  <c r="M543" i="5" s="1"/>
  <c r="O543" i="5"/>
  <c r="P543" i="5" s="1"/>
  <c r="Q543" i="5" s="1"/>
  <c r="L544" i="5"/>
  <c r="M544" i="5" s="1"/>
  <c r="O544" i="5"/>
  <c r="P544" i="5" s="1"/>
  <c r="Q544" i="5" s="1"/>
  <c r="L545" i="5"/>
  <c r="M545" i="5" s="1"/>
  <c r="O545" i="5"/>
  <c r="P545" i="5" s="1"/>
  <c r="Q545" i="5" s="1"/>
  <c r="L546" i="5"/>
  <c r="M546" i="5" s="1"/>
  <c r="O546" i="5"/>
  <c r="P546" i="5" s="1"/>
  <c r="Q546" i="5" s="1"/>
  <c r="L551" i="5"/>
  <c r="M551" i="5" s="1"/>
  <c r="O551" i="5"/>
  <c r="P551" i="5" s="1"/>
  <c r="Q551" i="5" s="1"/>
  <c r="L554" i="5"/>
  <c r="M554" i="5" s="1"/>
  <c r="O554" i="5"/>
  <c r="P554" i="5" s="1"/>
  <c r="Q554" i="5" s="1"/>
  <c r="L1204" i="5"/>
  <c r="M1204" i="5" s="1"/>
  <c r="O1204" i="5"/>
  <c r="P1204" i="5" s="1"/>
  <c r="Q1204" i="5" s="1"/>
  <c r="L1205" i="5"/>
  <c r="M1205" i="5" s="1"/>
  <c r="O1205" i="5"/>
  <c r="P1205" i="5" s="1"/>
  <c r="Q1205" i="5" s="1"/>
  <c r="L1206" i="5"/>
  <c r="M1206" i="5" s="1"/>
  <c r="O1206" i="5"/>
  <c r="P1206" i="5" s="1"/>
  <c r="L1207" i="5"/>
  <c r="M1207" i="5" s="1"/>
  <c r="O1207" i="5"/>
  <c r="P1207" i="5" s="1"/>
  <c r="Q1207" i="5" s="1"/>
  <c r="L1208" i="5"/>
  <c r="M1208" i="5" s="1"/>
  <c r="O1208" i="5"/>
  <c r="P1208" i="5" s="1"/>
  <c r="Q1208" i="5" s="1"/>
  <c r="L1209" i="5"/>
  <c r="M1209" i="5" s="1"/>
  <c r="O1209" i="5"/>
  <c r="P1209" i="5" s="1"/>
  <c r="Q1209" i="5" s="1"/>
  <c r="L1210" i="5"/>
  <c r="M1210" i="5" s="1"/>
  <c r="O1210" i="5"/>
  <c r="P1210" i="5" s="1"/>
  <c r="Q1210" i="5" s="1"/>
  <c r="L1211" i="5"/>
  <c r="M1211" i="5" s="1"/>
  <c r="O1211" i="5"/>
  <c r="P1211" i="5" s="1"/>
  <c r="Q1211" i="5" s="1"/>
  <c r="L1212" i="5"/>
  <c r="M1212" i="5" s="1"/>
  <c r="O1212" i="5"/>
  <c r="P1212" i="5" s="1"/>
  <c r="Q1212" i="5" s="1"/>
  <c r="L1213" i="5"/>
  <c r="M1213" i="5" s="1"/>
  <c r="O1213" i="5"/>
  <c r="P1213" i="5" s="1"/>
  <c r="Q1213" i="5" s="1"/>
  <c r="L1214" i="5"/>
  <c r="M1214" i="5" s="1"/>
  <c r="O1214" i="5"/>
  <c r="P1214" i="5" s="1"/>
  <c r="Q1214" i="5" s="1"/>
  <c r="L1215" i="5"/>
  <c r="M1215" i="5" s="1"/>
  <c r="O1215" i="5"/>
  <c r="P1215" i="5" s="1"/>
  <c r="Q1215" i="5" s="1"/>
  <c r="L1216" i="5"/>
  <c r="M1216" i="5" s="1"/>
  <c r="O1216" i="5"/>
  <c r="P1216" i="5" s="1"/>
  <c r="Q1216" i="5" s="1"/>
  <c r="L1217" i="5"/>
  <c r="M1217" i="5" s="1"/>
  <c r="O1217" i="5"/>
  <c r="P1217" i="5" s="1"/>
  <c r="Q1217" i="5" s="1"/>
  <c r="L1218" i="5"/>
  <c r="M1218" i="5" s="1"/>
  <c r="O1218" i="5"/>
  <c r="P1218" i="5" s="1"/>
  <c r="Q1218" i="5" s="1"/>
  <c r="L1219" i="5"/>
  <c r="M1219" i="5" s="1"/>
  <c r="O1219" i="5"/>
  <c r="P1219" i="5" s="1"/>
  <c r="Q1219" i="5" s="1"/>
  <c r="L1220" i="5"/>
  <c r="M1220" i="5" s="1"/>
  <c r="O1220" i="5"/>
  <c r="P1220" i="5" s="1"/>
  <c r="Q1220" i="5" s="1"/>
  <c r="L1221" i="5"/>
  <c r="M1221" i="5" s="1"/>
  <c r="O1221" i="5"/>
  <c r="P1221" i="5" s="1"/>
  <c r="Q1221" i="5" s="1"/>
  <c r="L1222" i="5"/>
  <c r="M1222" i="5" s="1"/>
  <c r="O1222" i="5"/>
  <c r="P1222" i="5" s="1"/>
  <c r="Q1222" i="5" s="1"/>
  <c r="L1223" i="5"/>
  <c r="M1223" i="5" s="1"/>
  <c r="O1223" i="5"/>
  <c r="P1223" i="5" s="1"/>
  <c r="Q1223" i="5" s="1"/>
  <c r="L1224" i="5"/>
  <c r="M1224" i="5" s="1"/>
  <c r="O1224" i="5"/>
  <c r="P1224" i="5" s="1"/>
  <c r="Q1224" i="5" s="1"/>
  <c r="L1225" i="5"/>
  <c r="M1225" i="5" s="1"/>
  <c r="O1225" i="5"/>
  <c r="P1225" i="5" s="1"/>
  <c r="Q1225" i="5" s="1"/>
  <c r="L1226" i="5"/>
  <c r="M1226" i="5" s="1"/>
  <c r="O1226" i="5"/>
  <c r="P1226" i="5" s="1"/>
  <c r="Q1226" i="5" s="1"/>
  <c r="L1227" i="5"/>
  <c r="M1227" i="5" s="1"/>
  <c r="O1227" i="5"/>
  <c r="P1227" i="5" s="1"/>
  <c r="Q1227" i="5" s="1"/>
  <c r="L1228" i="5"/>
  <c r="M1228" i="5" s="1"/>
  <c r="O1228" i="5"/>
  <c r="P1228" i="5" s="1"/>
  <c r="Q1228" i="5" s="1"/>
  <c r="L1229" i="5"/>
  <c r="M1229" i="5" s="1"/>
  <c r="O1229" i="5"/>
  <c r="P1229" i="5" s="1"/>
  <c r="Q1229" i="5" s="1"/>
  <c r="L1230" i="5"/>
  <c r="M1230" i="5" s="1"/>
  <c r="O1230" i="5"/>
  <c r="P1230" i="5" s="1"/>
  <c r="Q1230" i="5" s="1"/>
  <c r="L1231" i="5"/>
  <c r="M1231" i="5" s="1"/>
  <c r="O1231" i="5"/>
  <c r="P1231" i="5" s="1"/>
  <c r="Q1231" i="5" s="1"/>
  <c r="L601" i="5"/>
  <c r="M601" i="5" s="1"/>
  <c r="O601" i="5"/>
  <c r="P601" i="5" s="1"/>
  <c r="Q601" i="5" s="1"/>
  <c r="L603" i="5"/>
  <c r="M603" i="5" s="1"/>
  <c r="O603" i="5"/>
  <c r="P603" i="5" s="1"/>
  <c r="Q603" i="5" s="1"/>
  <c r="L604" i="5"/>
  <c r="M604" i="5" s="1"/>
  <c r="O604" i="5"/>
  <c r="P604" i="5" s="1"/>
  <c r="Q604" i="5" s="1"/>
  <c r="L605" i="5"/>
  <c r="M605" i="5" s="1"/>
  <c r="O605" i="5"/>
  <c r="P605" i="5" s="1"/>
  <c r="Q605" i="5" s="1"/>
  <c r="L607" i="5"/>
  <c r="M607" i="5" s="1"/>
  <c r="O607" i="5"/>
  <c r="P607" i="5" s="1"/>
  <c r="Q607" i="5" s="1"/>
  <c r="L608" i="5"/>
  <c r="M608" i="5" s="1"/>
  <c r="O608" i="5"/>
  <c r="P608" i="5" s="1"/>
  <c r="Q608" i="5" s="1"/>
  <c r="L609" i="5"/>
  <c r="M609" i="5" s="1"/>
  <c r="O609" i="5"/>
  <c r="P609" i="5" s="1"/>
  <c r="Q609" i="5" s="1"/>
  <c r="L610" i="5"/>
  <c r="M610" i="5" s="1"/>
  <c r="O610" i="5"/>
  <c r="P610" i="5" s="1"/>
  <c r="Q610" i="5" s="1"/>
  <c r="L612" i="5"/>
  <c r="M612" i="5" s="1"/>
  <c r="O612" i="5"/>
  <c r="P612" i="5" s="1"/>
  <c r="Q612" i="5" s="1"/>
  <c r="L613" i="5"/>
  <c r="M613" i="5" s="1"/>
  <c r="O613" i="5"/>
  <c r="P613" i="5" s="1"/>
  <c r="Q613" i="5" s="1"/>
  <c r="L614" i="5"/>
  <c r="M614" i="5" s="1"/>
  <c r="O614" i="5"/>
  <c r="P614" i="5" s="1"/>
  <c r="Q614" i="5" s="1"/>
  <c r="L615" i="5"/>
  <c r="M615" i="5" s="1"/>
  <c r="O615" i="5"/>
  <c r="P615" i="5" s="1"/>
  <c r="Q615" i="5" s="1"/>
  <c r="L616" i="5"/>
  <c r="M616" i="5" s="1"/>
  <c r="O616" i="5"/>
  <c r="P616" i="5" s="1"/>
  <c r="Q616" i="5" s="1"/>
  <c r="L617" i="5"/>
  <c r="M617" i="5" s="1"/>
  <c r="O617" i="5"/>
  <c r="P617" i="5" s="1"/>
  <c r="Q617" i="5" s="1"/>
  <c r="L618" i="5"/>
  <c r="M618" i="5" s="1"/>
  <c r="O618" i="5"/>
  <c r="P618" i="5" s="1"/>
  <c r="Q618" i="5" s="1"/>
  <c r="L620" i="5"/>
  <c r="M620" i="5" s="1"/>
  <c r="O620" i="5"/>
  <c r="P620" i="5" s="1"/>
  <c r="Q620" i="5" s="1"/>
  <c r="L621" i="5"/>
  <c r="M621" i="5" s="1"/>
  <c r="O621" i="5"/>
  <c r="P621" i="5" s="1"/>
  <c r="Q621" i="5" s="1"/>
  <c r="L622" i="5"/>
  <c r="M622" i="5" s="1"/>
  <c r="O622" i="5"/>
  <c r="P622" i="5" s="1"/>
  <c r="Q622" i="5" s="1"/>
  <c r="L626" i="5"/>
  <c r="M626" i="5" s="1"/>
  <c r="O626" i="5"/>
  <c r="P626" i="5" s="1"/>
  <c r="Q626" i="5" s="1"/>
  <c r="L628" i="5"/>
  <c r="M628" i="5" s="1"/>
  <c r="O628" i="5"/>
  <c r="P628" i="5" s="1"/>
  <c r="Q628" i="5" s="1"/>
  <c r="L629" i="5"/>
  <c r="M629" i="5" s="1"/>
  <c r="O629" i="5"/>
  <c r="P629" i="5" s="1"/>
  <c r="Q629" i="5" s="1"/>
  <c r="L630" i="5"/>
  <c r="M630" i="5" s="1"/>
  <c r="O630" i="5"/>
  <c r="P630" i="5" s="1"/>
  <c r="Q630" i="5" s="1"/>
  <c r="L114" i="5"/>
  <c r="M114" i="5" s="1"/>
  <c r="O114" i="5"/>
  <c r="P114" i="5" s="1"/>
  <c r="Q114" i="5" s="1"/>
  <c r="L115" i="5"/>
  <c r="M115" i="5" s="1"/>
  <c r="O115" i="5"/>
  <c r="P115" i="5" s="1"/>
  <c r="Q115" i="5" s="1"/>
  <c r="L439" i="5"/>
  <c r="M439" i="5" s="1"/>
  <c r="O439" i="5"/>
  <c r="P439" i="5" s="1"/>
  <c r="Q439" i="5" s="1"/>
  <c r="L428" i="5"/>
  <c r="M428" i="5" s="1"/>
  <c r="O428" i="5"/>
  <c r="P428" i="5" s="1"/>
  <c r="Q428" i="5" s="1"/>
  <c r="L429" i="5"/>
  <c r="M429" i="5" s="1"/>
  <c r="O429" i="5"/>
  <c r="P429" i="5" s="1"/>
  <c r="Q429" i="5" s="1"/>
  <c r="L430" i="5"/>
  <c r="M430" i="5" s="1"/>
  <c r="O430" i="5"/>
  <c r="P430" i="5" s="1"/>
  <c r="Q430" i="5" s="1"/>
  <c r="L431" i="5"/>
  <c r="M431" i="5" s="1"/>
  <c r="O431" i="5"/>
  <c r="P431" i="5" s="1"/>
  <c r="Q431" i="5" s="1"/>
  <c r="L432" i="5"/>
  <c r="M432" i="5" s="1"/>
  <c r="O432" i="5"/>
  <c r="P432" i="5" s="1"/>
  <c r="Q432" i="5" s="1"/>
  <c r="L433" i="5"/>
  <c r="M433" i="5" s="1"/>
  <c r="O433" i="5"/>
  <c r="P433" i="5" s="1"/>
  <c r="Q433" i="5" s="1"/>
  <c r="L434" i="5"/>
  <c r="M434" i="5" s="1"/>
  <c r="O434" i="5"/>
  <c r="P434" i="5" s="1"/>
  <c r="Q434" i="5" s="1"/>
  <c r="L435" i="5"/>
  <c r="M435" i="5" s="1"/>
  <c r="O435" i="5"/>
  <c r="P435" i="5" s="1"/>
  <c r="Q435" i="5" s="1"/>
  <c r="L436" i="5"/>
  <c r="M436" i="5" s="1"/>
  <c r="O436" i="5"/>
  <c r="P436" i="5" s="1"/>
  <c r="Q436" i="5" s="1"/>
  <c r="L437" i="5"/>
  <c r="M437" i="5" s="1"/>
  <c r="O437" i="5"/>
  <c r="P437" i="5" s="1"/>
  <c r="Q437" i="5" s="1"/>
  <c r="L402" i="2"/>
  <c r="K403" i="2" s="1"/>
  <c r="L397" i="2"/>
  <c r="K398" i="2" s="1"/>
  <c r="L336" i="2"/>
  <c r="K337" i="2" s="1"/>
  <c r="L337" i="2" s="1"/>
  <c r="M337" i="2" s="1"/>
  <c r="L376" i="2"/>
  <c r="M376" i="2" s="1"/>
  <c r="L467" i="2"/>
  <c r="K468" i="2" s="1"/>
  <c r="L468" i="2" s="1"/>
  <c r="M468" i="2" s="1"/>
  <c r="L21" i="2"/>
  <c r="O21" i="2"/>
  <c r="P21" i="2" s="1"/>
  <c r="Q21" i="2" s="1"/>
  <c r="L461" i="2"/>
  <c r="K462" i="2" s="1"/>
  <c r="L462" i="2" s="1"/>
  <c r="M462" i="2" s="1"/>
  <c r="L24" i="2"/>
  <c r="K25" i="2" s="1"/>
  <c r="L25" i="2" s="1"/>
  <c r="M25" i="2" s="1"/>
  <c r="L473" i="2"/>
  <c r="K474" i="2" s="1"/>
  <c r="O473" i="2"/>
  <c r="P473" i="2" s="1"/>
  <c r="Q473" i="2" s="1"/>
  <c r="L26" i="2"/>
  <c r="L234" i="2"/>
  <c r="K235" i="2" s="1"/>
  <c r="L235" i="2" s="1"/>
  <c r="M235" i="2" s="1"/>
  <c r="L28" i="2"/>
  <c r="L32" i="2"/>
  <c r="L158" i="2"/>
  <c r="K159" i="2" s="1"/>
  <c r="L159" i="2" s="1"/>
  <c r="M159" i="2" s="1"/>
  <c r="L160" i="2"/>
  <c r="K161" i="2" s="1"/>
  <c r="L161" i="2" s="1"/>
  <c r="M161" i="2" s="1"/>
  <c r="O160" i="2"/>
  <c r="P160" i="2" s="1"/>
  <c r="Q160" i="2" s="1"/>
  <c r="L162" i="2"/>
  <c r="K163" i="2" s="1"/>
  <c r="L163" i="2" s="1"/>
  <c r="M163" i="2" s="1"/>
  <c r="L166" i="2"/>
  <c r="K167" i="2" s="1"/>
  <c r="L167" i="2" s="1"/>
  <c r="L168" i="2"/>
  <c r="K169" i="2" s="1"/>
  <c r="P169" i="2" s="1"/>
  <c r="Q169" i="2" s="1"/>
  <c r="O168" i="2"/>
  <c r="P168" i="2" s="1"/>
  <c r="Q168" i="2" s="1"/>
  <c r="L170" i="2"/>
  <c r="M170" i="2" s="1"/>
  <c r="R170" i="2" s="1"/>
  <c r="O170" i="2"/>
  <c r="P170" i="2" s="1"/>
  <c r="Q170" i="2" s="1"/>
  <c r="L34" i="2"/>
  <c r="M34" i="2" s="1"/>
  <c r="R34" i="2" s="1"/>
  <c r="S34" i="2" s="1"/>
  <c r="T34" i="2" s="1"/>
  <c r="U34" i="2" s="1"/>
  <c r="O34" i="2"/>
  <c r="P34" i="2" s="1"/>
  <c r="Q34" i="2" s="1"/>
  <c r="L35" i="2"/>
  <c r="M35" i="2" s="1"/>
  <c r="R35" i="2" s="1"/>
  <c r="N35" i="2"/>
  <c r="O35" i="2" s="1"/>
  <c r="P35" i="2" s="1"/>
  <c r="Q35" i="2" s="1"/>
  <c r="L37" i="2"/>
  <c r="M37" i="2" s="1"/>
  <c r="R37" i="2" s="1"/>
  <c r="N37" i="2"/>
  <c r="O37" i="2" s="1"/>
  <c r="P37" i="2" s="1"/>
  <c r="Q37" i="2" s="1"/>
  <c r="L475" i="2"/>
  <c r="O475" i="2"/>
  <c r="P475" i="2" s="1"/>
  <c r="Q475" i="2" s="1"/>
  <c r="L479" i="2"/>
  <c r="K480" i="2" s="1"/>
  <c r="P480" i="2" s="1"/>
  <c r="Q480" i="2" s="1"/>
  <c r="O479" i="2"/>
  <c r="P479" i="2" s="1"/>
  <c r="Q479" i="2" s="1"/>
  <c r="L116" i="2"/>
  <c r="L118" i="2"/>
  <c r="M118" i="2" s="1"/>
  <c r="O118" i="2"/>
  <c r="P118" i="2" s="1"/>
  <c r="Q118" i="2" s="1"/>
  <c r="L119" i="2"/>
  <c r="M119" i="2" s="1"/>
  <c r="R119" i="2" s="1"/>
  <c r="N119" i="2"/>
  <c r="O119" i="2" s="1"/>
  <c r="P119" i="2" s="1"/>
  <c r="Q119" i="2" s="1"/>
  <c r="L121" i="2"/>
  <c r="M121" i="2" s="1"/>
  <c r="N121" i="2"/>
  <c r="O121" i="2" s="1"/>
  <c r="P121" i="2" s="1"/>
  <c r="Q121" i="2" s="1"/>
  <c r="L399" i="2"/>
  <c r="K400" i="2" s="1"/>
  <c r="L391" i="2"/>
  <c r="M391" i="2" s="1"/>
  <c r="R391" i="2" s="1"/>
  <c r="S391" i="2" s="1"/>
  <c r="T391" i="2" s="1"/>
  <c r="U391" i="2" s="1"/>
  <c r="L388" i="2"/>
  <c r="M388" i="2" s="1"/>
  <c r="L413" i="2"/>
  <c r="K414" i="2" s="1"/>
  <c r="L414" i="2" s="1"/>
  <c r="M414" i="2" s="1"/>
  <c r="L463" i="2"/>
  <c r="K464" i="2" s="1"/>
  <c r="L464" i="2" s="1"/>
  <c r="M464" i="2" s="1"/>
  <c r="L383" i="2"/>
  <c r="M383" i="2" s="1"/>
  <c r="R383" i="2" s="1"/>
  <c r="S383" i="2" s="1"/>
  <c r="T383" i="2" s="1"/>
  <c r="U383" i="2" s="1"/>
  <c r="O383" i="2"/>
  <c r="P383" i="2" s="1"/>
  <c r="Q383" i="2" s="1"/>
  <c r="L377" i="2"/>
  <c r="K378" i="2" s="1"/>
  <c r="L378" i="2" s="1"/>
  <c r="M378" i="2" s="1"/>
  <c r="O377" i="2"/>
  <c r="P377" i="2" s="1"/>
  <c r="Q377" i="2" s="1"/>
  <c r="L340" i="2"/>
  <c r="K341" i="2" s="1"/>
  <c r="L341" i="2" s="1"/>
  <c r="M341" i="2" s="1"/>
  <c r="O340" i="2"/>
  <c r="P340" i="2" s="1"/>
  <c r="Q340" i="2" s="1"/>
  <c r="L471" i="2"/>
  <c r="K472" i="2" s="1"/>
  <c r="L472" i="2" s="1"/>
  <c r="M472" i="2" s="1"/>
  <c r="L379" i="2"/>
  <c r="K380" i="2" s="1"/>
  <c r="O379" i="2"/>
  <c r="P379" i="2" s="1"/>
  <c r="Q379" i="2" s="1"/>
  <c r="L174" i="2"/>
  <c r="K175" i="2" s="1"/>
  <c r="L175" i="2" s="1"/>
  <c r="M175" i="2" s="1"/>
  <c r="L385" i="2"/>
  <c r="M385" i="2" s="1"/>
  <c r="R385" i="2" s="1"/>
  <c r="O385" i="2"/>
  <c r="P385" i="2" s="1"/>
  <c r="Q385" i="2" s="1"/>
  <c r="L176" i="2"/>
  <c r="M176" i="2" s="1"/>
  <c r="R176" i="2" s="1"/>
  <c r="N176" i="2"/>
  <c r="O176" i="2" s="1"/>
  <c r="P176" i="2" s="1"/>
  <c r="Q176" i="2" s="1"/>
  <c r="L401" i="2"/>
  <c r="M401" i="2" s="1"/>
  <c r="R401" i="2" s="1"/>
  <c r="O401" i="2"/>
  <c r="P401" i="2" s="1"/>
  <c r="Q401" i="2" s="1"/>
  <c r="L178" i="2"/>
  <c r="M178" i="2" s="1"/>
  <c r="N178" i="2"/>
  <c r="O178" i="2" s="1"/>
  <c r="P178" i="2" s="1"/>
  <c r="Q178" i="2" s="1"/>
  <c r="L393" i="2"/>
  <c r="K394" i="2" s="1"/>
  <c r="L360" i="2"/>
  <c r="M360" i="2" s="1"/>
  <c r="O360" i="2"/>
  <c r="P360" i="2" s="1"/>
  <c r="Q360" i="2" s="1"/>
  <c r="L224" i="2"/>
  <c r="M224" i="2" s="1"/>
  <c r="N224" i="2"/>
  <c r="O224" i="2" s="1"/>
  <c r="P224" i="2" s="1"/>
  <c r="Q224" i="2" s="1"/>
  <c r="L226" i="2"/>
  <c r="M226" i="2" s="1"/>
  <c r="R226" i="2" s="1"/>
  <c r="N226" i="2"/>
  <c r="O226" i="2" s="1"/>
  <c r="P226" i="2" s="1"/>
  <c r="Q226" i="2" s="1"/>
  <c r="E98" i="12"/>
  <c r="R142" i="8"/>
  <c r="E74" i="12"/>
  <c r="P788" i="5"/>
  <c r="Q788" i="5" s="1"/>
  <c r="O345" i="5"/>
  <c r="P345" i="5" s="1"/>
  <c r="Q345" i="5" s="1"/>
  <c r="N710" i="5"/>
  <c r="B51" i="12" s="1"/>
  <c r="O686" i="5"/>
  <c r="P686" i="5" s="1"/>
  <c r="S11" i="5"/>
  <c r="P1173" i="5"/>
  <c r="Q1173" i="5" s="1"/>
  <c r="P677" i="5"/>
  <c r="Q677" i="5" s="1"/>
  <c r="P860" i="5"/>
  <c r="Q860" i="5" s="1"/>
  <c r="O562" i="5"/>
  <c r="P562" i="5" s="1"/>
  <c r="Q562" i="5" s="1"/>
  <c r="P455" i="5"/>
  <c r="Q455" i="5" s="1"/>
  <c r="N595" i="5"/>
  <c r="B47" i="12" s="1"/>
  <c r="P714" i="5"/>
  <c r="Q714" i="5" s="1"/>
  <c r="P1255" i="5"/>
  <c r="Q1255" i="5" s="1"/>
  <c r="E108" i="12"/>
  <c r="N288" i="2"/>
  <c r="B28" i="12" s="1"/>
  <c r="O219" i="2"/>
  <c r="P219" i="2" s="1"/>
  <c r="Q219" i="2" s="1"/>
  <c r="E113" i="12"/>
  <c r="E117" i="12"/>
  <c r="Q159" i="5"/>
  <c r="Q141" i="5"/>
  <c r="Q164" i="5"/>
  <c r="Q39" i="5"/>
  <c r="N524" i="5"/>
  <c r="B43" i="12" s="1"/>
  <c r="O410" i="2"/>
  <c r="P410" i="2" s="1"/>
  <c r="Q410" i="2" s="1"/>
  <c r="S17" i="18"/>
  <c r="T17" i="18" s="1"/>
  <c r="U17" i="18"/>
  <c r="S52" i="18"/>
  <c r="T52" i="18"/>
  <c r="U52" i="18"/>
  <c r="S20" i="18"/>
  <c r="T20" i="18"/>
  <c r="U20" i="18"/>
  <c r="S89" i="18"/>
  <c r="U16" i="18"/>
  <c r="S16" i="18"/>
  <c r="S42" i="18"/>
  <c r="T42" i="18" s="1"/>
  <c r="U42" i="18"/>
  <c r="S23" i="18"/>
  <c r="T23" i="18"/>
  <c r="U23" i="18"/>
  <c r="S38" i="18"/>
  <c r="T38" i="18"/>
  <c r="U38" i="18"/>
  <c r="S81" i="18"/>
  <c r="T81" i="18" s="1"/>
  <c r="U81" i="18" s="1"/>
  <c r="U18" i="18"/>
  <c r="S18" i="18"/>
  <c r="T18" i="18" s="1"/>
  <c r="S21" i="18"/>
  <c r="T21" i="18"/>
  <c r="U22" i="18"/>
  <c r="S24" i="18"/>
  <c r="T24" i="18"/>
  <c r="U25" i="18"/>
  <c r="S25" i="18"/>
  <c r="T25" i="18" s="1"/>
  <c r="U26" i="18"/>
  <c r="T26" i="18"/>
  <c r="S43" i="18"/>
  <c r="T43" i="18" s="1"/>
  <c r="U44" i="18"/>
  <c r="S44" i="18"/>
  <c r="T44" i="18" s="1"/>
  <c r="U45" i="18"/>
  <c r="T45" i="18"/>
  <c r="R68" i="18"/>
  <c r="R69" i="18"/>
  <c r="R96" i="18"/>
  <c r="R110" i="18"/>
  <c r="S110" i="18"/>
  <c r="U110" i="18" s="1"/>
  <c r="S169" i="18"/>
  <c r="T169" i="18"/>
  <c r="U19" i="18"/>
  <c r="S31" i="18"/>
  <c r="T31" i="18" s="1"/>
  <c r="U31" i="18"/>
  <c r="S34" i="18"/>
  <c r="T34" i="18" s="1"/>
  <c r="U34" i="18"/>
  <c r="S39" i="18"/>
  <c r="T39" i="18"/>
  <c r="U40" i="18"/>
  <c r="S40" i="18"/>
  <c r="T40" i="18"/>
  <c r="U41" i="18"/>
  <c r="S50" i="18"/>
  <c r="T50" i="18" s="1"/>
  <c r="U50" i="18"/>
  <c r="S53" i="18"/>
  <c r="T53" i="18" s="1"/>
  <c r="U54" i="18"/>
  <c r="T54" i="18"/>
  <c r="S61" i="18"/>
  <c r="T61" i="18" s="1"/>
  <c r="U65" i="18"/>
  <c r="S65" i="18"/>
  <c r="T65" i="18" s="1"/>
  <c r="U66" i="18"/>
  <c r="S90" i="18"/>
  <c r="T90" i="18" s="1"/>
  <c r="U90" i="18" s="1"/>
  <c r="S102" i="18"/>
  <c r="T102" i="18" s="1"/>
  <c r="S132" i="18"/>
  <c r="T132" i="18" s="1"/>
  <c r="U132" i="18"/>
  <c r="U135" i="18"/>
  <c r="S135" i="18"/>
  <c r="T135" i="18" s="1"/>
  <c r="S154" i="18"/>
  <c r="T154" i="18"/>
  <c r="U154" i="18" s="1"/>
  <c r="S157" i="18"/>
  <c r="T157" i="18" s="1"/>
  <c r="U157" i="18"/>
  <c r="S174" i="18"/>
  <c r="T174" i="18"/>
  <c r="T256" i="18"/>
  <c r="S256" i="18"/>
  <c r="U256" i="18"/>
  <c r="U266" i="18"/>
  <c r="S266" i="18"/>
  <c r="T266" i="18" s="1"/>
  <c r="S341" i="18"/>
  <c r="T341" i="18"/>
  <c r="U341" i="18"/>
  <c r="U359" i="18"/>
  <c r="S359" i="18"/>
  <c r="T359" i="18" s="1"/>
  <c r="S362" i="18"/>
  <c r="T362" i="18"/>
  <c r="U362" i="18"/>
  <c r="U369" i="18"/>
  <c r="S369" i="18"/>
  <c r="T369" i="18"/>
  <c r="U373" i="18"/>
  <c r="S373" i="18"/>
  <c r="T373" i="18" s="1"/>
  <c r="S384" i="18"/>
  <c r="U399" i="18"/>
  <c r="S399" i="18"/>
  <c r="T399" i="18" s="1"/>
  <c r="Q15" i="18"/>
  <c r="S27" i="18"/>
  <c r="T27" i="18" s="1"/>
  <c r="U27" i="18"/>
  <c r="S32" i="18"/>
  <c r="T32" i="18"/>
  <c r="U33" i="18"/>
  <c r="T33" i="18"/>
  <c r="S35" i="18"/>
  <c r="T35" i="18"/>
  <c r="U36" i="18"/>
  <c r="S36" i="18"/>
  <c r="T36" i="18"/>
  <c r="U37" i="18"/>
  <c r="T37" i="18"/>
  <c r="S46" i="18"/>
  <c r="T46" i="18"/>
  <c r="U46" i="18"/>
  <c r="U51" i="18"/>
  <c r="S51" i="18"/>
  <c r="T51" i="18"/>
  <c r="S55" i="18"/>
  <c r="T55" i="18" s="1"/>
  <c r="U56" i="18"/>
  <c r="S56" i="18"/>
  <c r="T56" i="18"/>
  <c r="U57" i="18"/>
  <c r="T57" i="18"/>
  <c r="U59" i="18"/>
  <c r="S59" i="18"/>
  <c r="T59" i="18"/>
  <c r="R86" i="18"/>
  <c r="T86" i="18" s="1"/>
  <c r="R88" i="18"/>
  <c r="S88" i="18" s="1"/>
  <c r="T88" i="18" s="1"/>
  <c r="S95" i="18"/>
  <c r="T95" i="18" s="1"/>
  <c r="U95" i="18" s="1"/>
  <c r="S109" i="18"/>
  <c r="T109" i="18"/>
  <c r="R118" i="18"/>
  <c r="S137" i="18"/>
  <c r="T137" i="18" s="1"/>
  <c r="U137" i="18"/>
  <c r="R146" i="18"/>
  <c r="S146" i="18" s="1"/>
  <c r="U156" i="18"/>
  <c r="S156" i="18"/>
  <c r="T156" i="18"/>
  <c r="R170" i="18"/>
  <c r="S199" i="18"/>
  <c r="S201" i="18" s="1"/>
  <c r="U199" i="18"/>
  <c r="U201" i="18"/>
  <c r="R201" i="18"/>
  <c r="S15" i="18"/>
  <c r="T15" i="18"/>
  <c r="O16" i="18"/>
  <c r="S19" i="18"/>
  <c r="T19" i="18" s="1"/>
  <c r="S28" i="18"/>
  <c r="T28" i="18"/>
  <c r="U29" i="18"/>
  <c r="S29" i="18"/>
  <c r="T29" i="18"/>
  <c r="U30" i="18"/>
  <c r="T30" i="18"/>
  <c r="S41" i="18"/>
  <c r="T41" i="18"/>
  <c r="S47" i="18"/>
  <c r="T47" i="18" s="1"/>
  <c r="U48" i="18"/>
  <c r="S48" i="18"/>
  <c r="T48" i="18"/>
  <c r="U49" i="18"/>
  <c r="T49" i="18"/>
  <c r="S63" i="18"/>
  <c r="S66" i="18"/>
  <c r="T66" i="18" s="1"/>
  <c r="R71" i="18"/>
  <c r="T72" i="18"/>
  <c r="U72" i="18"/>
  <c r="R73" i="18"/>
  <c r="R74" i="18"/>
  <c r="R76" i="18"/>
  <c r="S76" i="18" s="1"/>
  <c r="R77" i="18"/>
  <c r="U77" i="18" s="1"/>
  <c r="T78" i="18"/>
  <c r="U78" i="18" s="1"/>
  <c r="R79" i="18"/>
  <c r="R80" i="18"/>
  <c r="T80" i="18" s="1"/>
  <c r="R82" i="18"/>
  <c r="T82" i="18" s="1"/>
  <c r="R83" i="18"/>
  <c r="S83" i="18" s="1"/>
  <c r="T84" i="18"/>
  <c r="U84" i="18"/>
  <c r="S92" i="18"/>
  <c r="U92" i="18" s="1"/>
  <c r="S99" i="18"/>
  <c r="T99" i="18" s="1"/>
  <c r="S101" i="18"/>
  <c r="T101" i="18" s="1"/>
  <c r="U101" i="18" s="1"/>
  <c r="S131" i="18"/>
  <c r="U131" i="18"/>
  <c r="U133" i="18"/>
  <c r="S133" i="18"/>
  <c r="T133" i="18" s="1"/>
  <c r="S134" i="18"/>
  <c r="T134" i="18" s="1"/>
  <c r="U134" i="18"/>
  <c r="U136" i="18"/>
  <c r="S136" i="18"/>
  <c r="T136" i="18" s="1"/>
  <c r="U155" i="18"/>
  <c r="S155" i="18"/>
  <c r="T155" i="18" s="1"/>
  <c r="S179" i="18"/>
  <c r="U179" i="18"/>
  <c r="T179" i="18"/>
  <c r="S192" i="18"/>
  <c r="U192" i="18" s="1"/>
  <c r="T192" i="18"/>
  <c r="R94" i="18"/>
  <c r="T94" i="18" s="1"/>
  <c r="R97" i="18"/>
  <c r="R104" i="18"/>
  <c r="S104" i="18"/>
  <c r="R107" i="18"/>
  <c r="S107" i="18" s="1"/>
  <c r="R125" i="18"/>
  <c r="S138" i="18"/>
  <c r="T138" i="18" s="1"/>
  <c r="U139" i="18"/>
  <c r="S139" i="18"/>
  <c r="T139" i="18"/>
  <c r="U140" i="18"/>
  <c r="T140" i="18"/>
  <c r="S144" i="18"/>
  <c r="T144" i="18"/>
  <c r="U145" i="18"/>
  <c r="T145" i="18"/>
  <c r="R152" i="18"/>
  <c r="S152" i="18" s="1"/>
  <c r="R153" i="18"/>
  <c r="S153" i="18" s="1"/>
  <c r="T153" i="18" s="1"/>
  <c r="S158" i="18"/>
  <c r="T158" i="18" s="1"/>
  <c r="U159" i="18"/>
  <c r="S159" i="18"/>
  <c r="T159" i="18" s="1"/>
  <c r="U160" i="18"/>
  <c r="T160" i="18"/>
  <c r="U190" i="18"/>
  <c r="S190" i="18"/>
  <c r="T190" i="18" s="1"/>
  <c r="S212" i="18"/>
  <c r="T212" i="18"/>
  <c r="U212" i="18"/>
  <c r="S214" i="18"/>
  <c r="T214" i="18" s="1"/>
  <c r="U214" i="18"/>
  <c r="S249" i="18"/>
  <c r="T249" i="18" s="1"/>
  <c r="U249" i="18"/>
  <c r="U267" i="18"/>
  <c r="S267" i="18"/>
  <c r="T267" i="18" s="1"/>
  <c r="R103" i="18"/>
  <c r="R108" i="18"/>
  <c r="R111" i="18"/>
  <c r="S111" i="18" s="1"/>
  <c r="R114" i="18"/>
  <c r="T114" i="18" s="1"/>
  <c r="S141" i="18"/>
  <c r="T141" i="18"/>
  <c r="U141" i="18"/>
  <c r="R148" i="18"/>
  <c r="S148" i="18" s="1"/>
  <c r="T149" i="18"/>
  <c r="U149" i="18"/>
  <c r="S161" i="18"/>
  <c r="T161" i="18" s="1"/>
  <c r="U161" i="18"/>
  <c r="R166" i="18"/>
  <c r="N196" i="18"/>
  <c r="O180" i="18"/>
  <c r="P180" i="18" s="1"/>
  <c r="Q180" i="18" s="1"/>
  <c r="S187" i="18"/>
  <c r="T187" i="18" s="1"/>
  <c r="U187" i="18"/>
  <c r="T189" i="18"/>
  <c r="S189" i="18"/>
  <c r="U189" i="18"/>
  <c r="S191" i="18"/>
  <c r="S215" i="18"/>
  <c r="T215" i="18" s="1"/>
  <c r="U215" i="18"/>
  <c r="S221" i="18"/>
  <c r="U221" i="18"/>
  <c r="T232" i="18"/>
  <c r="S232" i="18"/>
  <c r="U232" i="18"/>
  <c r="O252" i="18"/>
  <c r="P241" i="18"/>
  <c r="Q241" i="18" s="1"/>
  <c r="Q252" i="18" s="1"/>
  <c r="S276" i="18"/>
  <c r="T276" i="18"/>
  <c r="U276" i="18"/>
  <c r="U320" i="18"/>
  <c r="S320" i="18"/>
  <c r="T320" i="18"/>
  <c r="T112" i="18"/>
  <c r="U112" i="18" s="1"/>
  <c r="N176" i="18"/>
  <c r="O131" i="18"/>
  <c r="N111" i="2" s="1"/>
  <c r="S142" i="18"/>
  <c r="T142" i="18" s="1"/>
  <c r="U143" i="18"/>
  <c r="T143" i="18"/>
  <c r="R150" i="18"/>
  <c r="S150" i="18" s="1"/>
  <c r="R151" i="18"/>
  <c r="S151" i="18"/>
  <c r="U151" i="18" s="1"/>
  <c r="S162" i="18"/>
  <c r="T162" i="18" s="1"/>
  <c r="U163" i="18"/>
  <c r="S163" i="18"/>
  <c r="T163" i="18"/>
  <c r="N237" i="18"/>
  <c r="O228" i="18"/>
  <c r="N458" i="2"/>
  <c r="O458" i="2" s="1"/>
  <c r="P458" i="2" s="1"/>
  <c r="Q458" i="2" s="1"/>
  <c r="S234" i="18"/>
  <c r="T234" i="18"/>
  <c r="U234" i="18"/>
  <c r="S265" i="18"/>
  <c r="T265" i="18"/>
  <c r="U265" i="18"/>
  <c r="T268" i="18"/>
  <c r="S268" i="18"/>
  <c r="U268" i="18"/>
  <c r="S290" i="18"/>
  <c r="T290" i="18" s="1"/>
  <c r="U290" i="18"/>
  <c r="S181" i="18"/>
  <c r="T181" i="18"/>
  <c r="U182" i="18"/>
  <c r="S182" i="18"/>
  <c r="T182" i="18"/>
  <c r="U183" i="18"/>
  <c r="T183" i="18"/>
  <c r="R193" i="18"/>
  <c r="R194" i="18"/>
  <c r="O217" i="18"/>
  <c r="O225" i="18"/>
  <c r="N225" i="18"/>
  <c r="O221" i="18"/>
  <c r="U255" i="18"/>
  <c r="S257" i="18"/>
  <c r="T257" i="18" s="1"/>
  <c r="U258" i="18"/>
  <c r="S258" i="18"/>
  <c r="U259" i="18"/>
  <c r="T259" i="18"/>
  <c r="S269" i="18"/>
  <c r="T269" i="18"/>
  <c r="U270" i="18"/>
  <c r="S270" i="18"/>
  <c r="U271" i="18"/>
  <c r="T271" i="18"/>
  <c r="U281" i="18"/>
  <c r="S281" i="18"/>
  <c r="T281" i="18"/>
  <c r="S283" i="18"/>
  <c r="T283" i="18" s="1"/>
  <c r="U283" i="18"/>
  <c r="S287" i="18"/>
  <c r="T287" i="18"/>
  <c r="U287" i="18"/>
  <c r="U317" i="18"/>
  <c r="S317" i="18"/>
  <c r="T317" i="18"/>
  <c r="R172" i="18"/>
  <c r="S172" i="18" s="1"/>
  <c r="S184" i="18"/>
  <c r="T184" i="18"/>
  <c r="U184" i="18"/>
  <c r="U188" i="18"/>
  <c r="S188" i="18"/>
  <c r="T188" i="18"/>
  <c r="T206" i="18"/>
  <c r="S206" i="18"/>
  <c r="U206" i="18"/>
  <c r="U213" i="18"/>
  <c r="S213" i="18"/>
  <c r="T213" i="18" s="1"/>
  <c r="S222" i="18"/>
  <c r="T222" i="18"/>
  <c r="U223" i="18"/>
  <c r="S223" i="18"/>
  <c r="T223" i="18" s="1"/>
  <c r="S228" i="18"/>
  <c r="T228" i="18" s="1"/>
  <c r="U228" i="18"/>
  <c r="U233" i="18"/>
  <c r="S233" i="18"/>
  <c r="T233" i="18"/>
  <c r="S242" i="18"/>
  <c r="T242" i="18" s="1"/>
  <c r="U242" i="18"/>
  <c r="S250" i="18"/>
  <c r="T250" i="18" s="1"/>
  <c r="S272" i="18"/>
  <c r="T272" i="18"/>
  <c r="U272" i="18"/>
  <c r="S277" i="18"/>
  <c r="T277" i="18" s="1"/>
  <c r="S278" i="18"/>
  <c r="T278" i="18"/>
  <c r="S279" i="18"/>
  <c r="T279" i="18" s="1"/>
  <c r="U282" i="18"/>
  <c r="S282" i="18"/>
  <c r="T282" i="18" s="1"/>
  <c r="U286" i="18"/>
  <c r="S286" i="18"/>
  <c r="T286" i="18" s="1"/>
  <c r="S329" i="18"/>
  <c r="T329" i="18" s="1"/>
  <c r="U329" i="18"/>
  <c r="O124" i="18"/>
  <c r="P124" i="18" s="1"/>
  <c r="Q124" i="18" s="1"/>
  <c r="R124" i="18" s="1"/>
  <c r="O196" i="18"/>
  <c r="S180" i="18"/>
  <c r="T180" i="18"/>
  <c r="U180" i="18"/>
  <c r="S185" i="18"/>
  <c r="T185" i="18" s="1"/>
  <c r="U186" i="18"/>
  <c r="S186" i="18"/>
  <c r="T186" i="18" s="1"/>
  <c r="P199" i="18"/>
  <c r="O201" i="18"/>
  <c r="S204" i="18"/>
  <c r="T204" i="18" s="1"/>
  <c r="R217" i="18"/>
  <c r="U205" i="18"/>
  <c r="T205" i="18"/>
  <c r="S207" i="18"/>
  <c r="T207" i="18" s="1"/>
  <c r="U208" i="18"/>
  <c r="U217" i="18"/>
  <c r="S208" i="18"/>
  <c r="T208" i="18" s="1"/>
  <c r="U209" i="18"/>
  <c r="T209" i="18"/>
  <c r="S210" i="18"/>
  <c r="T210" i="18" s="1"/>
  <c r="U211" i="18"/>
  <c r="S211" i="18"/>
  <c r="T211" i="18" s="1"/>
  <c r="R225" i="18"/>
  <c r="U220" i="18"/>
  <c r="U225" i="18"/>
  <c r="S220" i="18"/>
  <c r="S229" i="18"/>
  <c r="T229" i="18"/>
  <c r="U230" i="18"/>
  <c r="S230" i="18"/>
  <c r="U231" i="18"/>
  <c r="T231" i="18"/>
  <c r="U241" i="18"/>
  <c r="T241" i="18"/>
  <c r="S243" i="18"/>
  <c r="U244" i="18"/>
  <c r="S244" i="18"/>
  <c r="T244" i="18" s="1"/>
  <c r="R245" i="18"/>
  <c r="S246" i="18"/>
  <c r="T246" i="18"/>
  <c r="U247" i="18"/>
  <c r="S247" i="18"/>
  <c r="T247" i="18"/>
  <c r="U248" i="18"/>
  <c r="T248" i="18"/>
  <c r="S255" i="18"/>
  <c r="U257" i="18"/>
  <c r="T258" i="18"/>
  <c r="U269" i="18"/>
  <c r="T270" i="18"/>
  <c r="S273" i="18"/>
  <c r="T273" i="18"/>
  <c r="U274" i="18"/>
  <c r="S274" i="18"/>
  <c r="T274" i="18"/>
  <c r="U275" i="18"/>
  <c r="T275" i="18"/>
  <c r="S318" i="18"/>
  <c r="T318" i="18"/>
  <c r="U318" i="18"/>
  <c r="P204" i="18"/>
  <c r="Q204" i="18" s="1"/>
  <c r="U280" i="18"/>
  <c r="S319" i="18"/>
  <c r="T319" i="18"/>
  <c r="U319" i="18"/>
  <c r="U334" i="18"/>
  <c r="T334" i="18"/>
  <c r="U337" i="18"/>
  <c r="S337" i="18"/>
  <c r="T337" i="18" s="1"/>
  <c r="S338" i="18"/>
  <c r="T338" i="18" s="1"/>
  <c r="U338" i="18"/>
  <c r="N217" i="18"/>
  <c r="N252" i="18"/>
  <c r="S280" i="18"/>
  <c r="T280" i="18"/>
  <c r="U289" i="18"/>
  <c r="S292" i="18"/>
  <c r="T292" i="18" s="1"/>
  <c r="U292" i="18"/>
  <c r="S313" i="18"/>
  <c r="T313" i="18" s="1"/>
  <c r="U313" i="18"/>
  <c r="U323" i="18"/>
  <c r="T323" i="18"/>
  <c r="S324" i="18"/>
  <c r="T324" i="18"/>
  <c r="U325" i="18"/>
  <c r="S325" i="18"/>
  <c r="T325" i="18" s="1"/>
  <c r="S330" i="18"/>
  <c r="T330" i="18"/>
  <c r="U330" i="18"/>
  <c r="S335" i="18"/>
  <c r="T335" i="18" s="1"/>
  <c r="U335" i="18"/>
  <c r="S289" i="18"/>
  <c r="T289" i="18"/>
  <c r="U291" i="18"/>
  <c r="R293" i="18"/>
  <c r="R295" i="18" s="1"/>
  <c r="U316" i="18"/>
  <c r="S316" i="18"/>
  <c r="T316" i="18" s="1"/>
  <c r="U328" i="18"/>
  <c r="T328" i="18"/>
  <c r="U333" i="18"/>
  <c r="S333" i="18"/>
  <c r="T333" i="18"/>
  <c r="S336" i="18"/>
  <c r="T336" i="18" s="1"/>
  <c r="U336" i="18"/>
  <c r="U339" i="18"/>
  <c r="S339" i="18"/>
  <c r="T339" i="18" s="1"/>
  <c r="U342" i="18"/>
  <c r="S342" i="18"/>
  <c r="T342" i="18"/>
  <c r="S343" i="18"/>
  <c r="T343" i="18" s="1"/>
  <c r="U343" i="18"/>
  <c r="U347" i="18"/>
  <c r="S347" i="18"/>
  <c r="T347" i="18" s="1"/>
  <c r="R349" i="18"/>
  <c r="S349" i="18" s="1"/>
  <c r="U351" i="18"/>
  <c r="S351" i="18"/>
  <c r="T351" i="18" s="1"/>
  <c r="U352" i="18"/>
  <c r="T352" i="18"/>
  <c r="S353" i="18"/>
  <c r="T353" i="18" s="1"/>
  <c r="U354" i="18"/>
  <c r="S354" i="18"/>
  <c r="T354" i="18" s="1"/>
  <c r="U355" i="18"/>
  <c r="T355" i="18"/>
  <c r="S356" i="18"/>
  <c r="T356" i="18" s="1"/>
  <c r="U357" i="18"/>
  <c r="S357" i="18"/>
  <c r="T357" i="18"/>
  <c r="U363" i="18"/>
  <c r="S363" i="18"/>
  <c r="T363" i="18" s="1"/>
  <c r="S364" i="18"/>
  <c r="T364" i="18" s="1"/>
  <c r="U364" i="18"/>
  <c r="S370" i="18"/>
  <c r="T370" i="18"/>
  <c r="U370" i="18"/>
  <c r="S374" i="18"/>
  <c r="T374" i="18"/>
  <c r="U374" i="18"/>
  <c r="U340" i="18"/>
  <c r="S361" i="18"/>
  <c r="T361" i="18"/>
  <c r="U361" i="18"/>
  <c r="U368" i="18"/>
  <c r="S368" i="18"/>
  <c r="T368" i="18"/>
  <c r="U372" i="18"/>
  <c r="S372" i="18"/>
  <c r="T372" i="18" s="1"/>
  <c r="U377" i="18"/>
  <c r="S377" i="18"/>
  <c r="T377" i="18" s="1"/>
  <c r="S378" i="18"/>
  <c r="U378" i="18"/>
  <c r="T378" i="18"/>
  <c r="U381" i="18"/>
  <c r="S381" i="18"/>
  <c r="T381" i="18"/>
  <c r="S386" i="18"/>
  <c r="U386" i="18" s="1"/>
  <c r="U403" i="18"/>
  <c r="S403" i="18"/>
  <c r="T403" i="18"/>
  <c r="U418" i="18"/>
  <c r="S418" i="18"/>
  <c r="T418" i="18"/>
  <c r="U422" i="18"/>
  <c r="S422" i="18"/>
  <c r="T422" i="18" s="1"/>
  <c r="U426" i="18"/>
  <c r="T426" i="18"/>
  <c r="S426" i="18"/>
  <c r="U432" i="18"/>
  <c r="S432" i="18"/>
  <c r="T432" i="18"/>
  <c r="S340" i="18"/>
  <c r="T340" i="18" s="1"/>
  <c r="U353" i="18"/>
  <c r="U356" i="18"/>
  <c r="S358" i="18"/>
  <c r="T358" i="18" s="1"/>
  <c r="U358" i="18"/>
  <c r="U360" i="18"/>
  <c r="S360" i="18"/>
  <c r="T360" i="18" s="1"/>
  <c r="S365" i="18"/>
  <c r="T365" i="18"/>
  <c r="U365" i="18"/>
  <c r="S371" i="18"/>
  <c r="U371" i="18"/>
  <c r="T371" i="18"/>
  <c r="S375" i="18"/>
  <c r="T375" i="18" s="1"/>
  <c r="U375" i="18"/>
  <c r="U380" i="18"/>
  <c r="S380" i="18"/>
  <c r="T380" i="18" s="1"/>
  <c r="S385" i="18"/>
  <c r="T385" i="18"/>
  <c r="U385" i="18"/>
  <c r="U388" i="18"/>
  <c r="S388" i="18"/>
  <c r="T388" i="18"/>
  <c r="U389" i="18"/>
  <c r="S389" i="18"/>
  <c r="T389" i="18"/>
  <c r="S383" i="18"/>
  <c r="T383" i="18" s="1"/>
  <c r="U392" i="18"/>
  <c r="T392" i="18"/>
  <c r="S397" i="18"/>
  <c r="T397" i="18" s="1"/>
  <c r="U397" i="18" s="1"/>
  <c r="S401" i="18"/>
  <c r="T401" i="18"/>
  <c r="U401" i="18"/>
  <c r="S404" i="18"/>
  <c r="U412" i="18"/>
  <c r="T412" i="18"/>
  <c r="S413" i="18"/>
  <c r="T413" i="18"/>
  <c r="U414" i="18"/>
  <c r="S387" i="18"/>
  <c r="T387" i="18" s="1"/>
  <c r="U398" i="18"/>
  <c r="U402" i="18"/>
  <c r="S405" i="18"/>
  <c r="T405" i="18" s="1"/>
  <c r="U405" i="18"/>
  <c r="S408" i="18"/>
  <c r="T408" i="18" s="1"/>
  <c r="U408" i="18"/>
  <c r="S420" i="18"/>
  <c r="T420" i="18"/>
  <c r="U420" i="18"/>
  <c r="S431" i="18"/>
  <c r="T431" i="18"/>
  <c r="U431" i="18"/>
  <c r="S376" i="18"/>
  <c r="S398" i="18"/>
  <c r="T398" i="18"/>
  <c r="R406" i="18"/>
  <c r="R416" i="18"/>
  <c r="U421" i="18"/>
  <c r="T421" i="18"/>
  <c r="T425" i="18"/>
  <c r="U425" i="18"/>
  <c r="T376" i="18"/>
  <c r="S391" i="18"/>
  <c r="T391" i="18" s="1"/>
  <c r="S400" i="18"/>
  <c r="T400" i="18" s="1"/>
  <c r="U400" i="18"/>
  <c r="S402" i="18"/>
  <c r="T402" i="18"/>
  <c r="R409" i="18"/>
  <c r="T409" i="18" s="1"/>
  <c r="U409" i="18" s="1"/>
  <c r="S410" i="18"/>
  <c r="T410" i="18" s="1"/>
  <c r="R411" i="18"/>
  <c r="S411" i="18"/>
  <c r="U413" i="18"/>
  <c r="S414" i="18"/>
  <c r="T414" i="18"/>
  <c r="T419" i="18"/>
  <c r="S419" i="18"/>
  <c r="U419" i="18"/>
  <c r="S423" i="18"/>
  <c r="T423" i="18"/>
  <c r="U423" i="18"/>
  <c r="S427" i="18"/>
  <c r="T427" i="18"/>
  <c r="U427" i="18"/>
  <c r="T417" i="18"/>
  <c r="T386" i="18"/>
  <c r="S193" i="18"/>
  <c r="U193" i="18" s="1"/>
  <c r="O237" i="18"/>
  <c r="P228" i="18"/>
  <c r="Q228" i="18"/>
  <c r="S103" i="18"/>
  <c r="T103" i="18" s="1"/>
  <c r="S94" i="18"/>
  <c r="U94" i="18" s="1"/>
  <c r="S80" i="18"/>
  <c r="U80" i="18" s="1"/>
  <c r="S77" i="18"/>
  <c r="T77" i="18"/>
  <c r="S74" i="18"/>
  <c r="T74" i="18" s="1"/>
  <c r="U74" i="18" s="1"/>
  <c r="S71" i="18"/>
  <c r="S170" i="18"/>
  <c r="T170" i="18" s="1"/>
  <c r="S118" i="18"/>
  <c r="T118" i="18" s="1"/>
  <c r="U118" i="18" s="1"/>
  <c r="S68" i="18"/>
  <c r="T68" i="18"/>
  <c r="U68" i="18" s="1"/>
  <c r="P201" i="18"/>
  <c r="Q199" i="18"/>
  <c r="Q201" i="18" s="1"/>
  <c r="P252" i="18"/>
  <c r="S114" i="18"/>
  <c r="U114" i="18" s="1"/>
  <c r="S79" i="18"/>
  <c r="T79" i="18"/>
  <c r="U79" i="18"/>
  <c r="S73" i="18"/>
  <c r="T73" i="18" s="1"/>
  <c r="U73" i="18" s="1"/>
  <c r="T63" i="18"/>
  <c r="U63" i="18"/>
  <c r="T110" i="18"/>
  <c r="S225" i="18"/>
  <c r="T220" i="18"/>
  <c r="T225" i="18" s="1"/>
  <c r="P131" i="18"/>
  <c r="Q131" i="18" s="1"/>
  <c r="T104" i="18"/>
  <c r="U104" i="18"/>
  <c r="U109" i="18"/>
  <c r="U174" i="18"/>
  <c r="T92" i="18"/>
  <c r="S96" i="18"/>
  <c r="S409" i="18"/>
  <c r="S194" i="18"/>
  <c r="S196" i="18" s="1"/>
  <c r="S166" i="18"/>
  <c r="T166" i="18"/>
  <c r="S108" i="18"/>
  <c r="S125" i="18"/>
  <c r="T125" i="18" s="1"/>
  <c r="S97" i="18"/>
  <c r="T97" i="18"/>
  <c r="T131" i="18"/>
  <c r="S82" i="18"/>
  <c r="U82" i="18" s="1"/>
  <c r="T199" i="18"/>
  <c r="T201" i="18"/>
  <c r="S86" i="18"/>
  <c r="U86" i="18" s="1"/>
  <c r="S69" i="18"/>
  <c r="T69" i="18" s="1"/>
  <c r="U69" i="18" s="1"/>
  <c r="T151" i="18"/>
  <c r="M48" i="8"/>
  <c r="R45" i="19"/>
  <c r="S45" i="19"/>
  <c r="T45" i="19" s="1"/>
  <c r="U20" i="19"/>
  <c r="S20" i="19"/>
  <c r="T20" i="19"/>
  <c r="S22" i="19"/>
  <c r="T22" i="19" s="1"/>
  <c r="U22" i="19"/>
  <c r="S25" i="19"/>
  <c r="T25" i="19"/>
  <c r="U25" i="19"/>
  <c r="U27" i="19"/>
  <c r="S27" i="19"/>
  <c r="T27" i="19"/>
  <c r="S30" i="19"/>
  <c r="T30" i="19" s="1"/>
  <c r="U30" i="19" s="1"/>
  <c r="S14" i="19"/>
  <c r="U14" i="19"/>
  <c r="U17" i="19"/>
  <c r="S17" i="19"/>
  <c r="T17" i="19"/>
  <c r="S19" i="19"/>
  <c r="T19" i="19" s="1"/>
  <c r="U19" i="19"/>
  <c r="R26" i="19"/>
  <c r="T26" i="19" s="1"/>
  <c r="U26" i="19" s="1"/>
  <c r="S26" i="19"/>
  <c r="U16" i="19"/>
  <c r="S16" i="19"/>
  <c r="T16" i="19"/>
  <c r="U24" i="19"/>
  <c r="T24" i="19"/>
  <c r="S24" i="19"/>
  <c r="S29" i="19"/>
  <c r="T29" i="19"/>
  <c r="S15" i="19"/>
  <c r="T15" i="19" s="1"/>
  <c r="U15" i="19"/>
  <c r="S18" i="19"/>
  <c r="T18" i="19" s="1"/>
  <c r="U18" i="19"/>
  <c r="U23" i="19"/>
  <c r="S23" i="19"/>
  <c r="T23" i="19" s="1"/>
  <c r="R31" i="19"/>
  <c r="S31" i="19"/>
  <c r="S47" i="19"/>
  <c r="T47" i="19" s="1"/>
  <c r="S51" i="19"/>
  <c r="T51" i="19" s="1"/>
  <c r="U51" i="19" s="1"/>
  <c r="P97" i="19"/>
  <c r="Q57" i="19"/>
  <c r="Q97" i="19"/>
  <c r="U60" i="19"/>
  <c r="S60" i="19"/>
  <c r="T60" i="19"/>
  <c r="U66" i="19"/>
  <c r="S66" i="19"/>
  <c r="T66" i="19" s="1"/>
  <c r="U69" i="19"/>
  <c r="T69" i="19"/>
  <c r="S69" i="19"/>
  <c r="S84" i="19"/>
  <c r="T84" i="19"/>
  <c r="U84" i="19"/>
  <c r="O20" i="19"/>
  <c r="O37" i="19" s="1"/>
  <c r="R35" i="19"/>
  <c r="S35" i="19"/>
  <c r="T35" i="19" s="1"/>
  <c r="U35" i="19" s="1"/>
  <c r="T50" i="19"/>
  <c r="S50" i="19"/>
  <c r="U50" i="19" s="1"/>
  <c r="U59" i="19"/>
  <c r="S59" i="19"/>
  <c r="T59" i="19" s="1"/>
  <c r="U65" i="19"/>
  <c r="S65" i="19"/>
  <c r="T65" i="19" s="1"/>
  <c r="S68" i="19"/>
  <c r="T68" i="19"/>
  <c r="U68" i="19"/>
  <c r="R71" i="19"/>
  <c r="T71" i="19" s="1"/>
  <c r="T40" i="19"/>
  <c r="S40" i="19"/>
  <c r="U43" i="19"/>
  <c r="S43" i="19"/>
  <c r="T43" i="19" s="1"/>
  <c r="R49" i="19"/>
  <c r="T49" i="19" s="1"/>
  <c r="S58" i="19"/>
  <c r="U58" i="19"/>
  <c r="T58" i="19"/>
  <c r="R62" i="19"/>
  <c r="T63" i="19"/>
  <c r="S63" i="19"/>
  <c r="U63" i="19"/>
  <c r="S64" i="19"/>
  <c r="T64" i="19"/>
  <c r="U64" i="19"/>
  <c r="P14" i="19"/>
  <c r="R33" i="19"/>
  <c r="T33" i="19" s="1"/>
  <c r="S41" i="19"/>
  <c r="T41" i="19" s="1"/>
  <c r="U41" i="19"/>
  <c r="U42" i="19"/>
  <c r="T42" i="19"/>
  <c r="R44" i="19"/>
  <c r="R48" i="19"/>
  <c r="T48" i="19" s="1"/>
  <c r="T57" i="19"/>
  <c r="S57" i="19"/>
  <c r="U57" i="19"/>
  <c r="S61" i="19"/>
  <c r="T61" i="19"/>
  <c r="U61" i="19"/>
  <c r="S67" i="19"/>
  <c r="T67" i="19"/>
  <c r="U67" i="19"/>
  <c r="U70" i="19"/>
  <c r="S70" i="19"/>
  <c r="T70" i="19"/>
  <c r="U72" i="19"/>
  <c r="S72" i="19"/>
  <c r="T72" i="19" s="1"/>
  <c r="S76" i="19"/>
  <c r="T76" i="19"/>
  <c r="U76" i="19"/>
  <c r="R81" i="19"/>
  <c r="S81" i="19"/>
  <c r="T81" i="19"/>
  <c r="S82" i="19"/>
  <c r="T82" i="19" s="1"/>
  <c r="U82" i="19" s="1"/>
  <c r="S89" i="19"/>
  <c r="T89" i="19" s="1"/>
  <c r="S114" i="19"/>
  <c r="S121" i="19"/>
  <c r="T121" i="19"/>
  <c r="U121" i="19"/>
  <c r="U133" i="19"/>
  <c r="S133" i="19"/>
  <c r="T133" i="19"/>
  <c r="U142" i="19"/>
  <c r="S142" i="19"/>
  <c r="T142" i="19"/>
  <c r="O53" i="19"/>
  <c r="S77" i="19"/>
  <c r="T77" i="19" s="1"/>
  <c r="U78" i="19"/>
  <c r="S78" i="19"/>
  <c r="T78" i="19" s="1"/>
  <c r="R79" i="19"/>
  <c r="S90" i="19"/>
  <c r="R93" i="19"/>
  <c r="S93" i="19"/>
  <c r="S105" i="19"/>
  <c r="T105" i="19" s="1"/>
  <c r="U105" i="19" s="1"/>
  <c r="U120" i="19"/>
  <c r="S120" i="19"/>
  <c r="S124" i="19" s="1"/>
  <c r="T120" i="19"/>
  <c r="R139" i="19"/>
  <c r="U139" i="19" s="1"/>
  <c r="R74" i="19"/>
  <c r="T91" i="19"/>
  <c r="U91" i="19" s="1"/>
  <c r="R94" i="19"/>
  <c r="S94" i="19"/>
  <c r="O97" i="19"/>
  <c r="O109" i="19"/>
  <c r="S136" i="19"/>
  <c r="T136" i="19"/>
  <c r="U136" i="19"/>
  <c r="U143" i="19"/>
  <c r="S143" i="19"/>
  <c r="T143" i="19"/>
  <c r="N97" i="19"/>
  <c r="S75" i="19"/>
  <c r="T75" i="19" s="1"/>
  <c r="R85" i="19"/>
  <c r="S87" i="19"/>
  <c r="U87" i="19" s="1"/>
  <c r="R95" i="19"/>
  <c r="S102" i="19"/>
  <c r="T102" i="19"/>
  <c r="R103" i="19"/>
  <c r="S103" i="19" s="1"/>
  <c r="T103" i="19" s="1"/>
  <c r="R104" i="19"/>
  <c r="S104" i="19"/>
  <c r="T104" i="19" s="1"/>
  <c r="U104" i="19" s="1"/>
  <c r="R107" i="19"/>
  <c r="S107" i="19" s="1"/>
  <c r="T107" i="19" s="1"/>
  <c r="R122" i="19"/>
  <c r="S122" i="19" s="1"/>
  <c r="P101" i="19"/>
  <c r="P120" i="19"/>
  <c r="O112" i="19"/>
  <c r="P112" i="19" s="1"/>
  <c r="B64" i="12"/>
  <c r="O133" i="8"/>
  <c r="D72" i="12"/>
  <c r="B72" i="12"/>
  <c r="C72" i="12" s="1"/>
  <c r="S44" i="19"/>
  <c r="S71" i="19"/>
  <c r="Q120" i="19"/>
  <c r="S139" i="19"/>
  <c r="T139" i="19" s="1"/>
  <c r="T93" i="19"/>
  <c r="U93" i="19"/>
  <c r="T87" i="19"/>
  <c r="S48" i="19"/>
  <c r="U48" i="19" s="1"/>
  <c r="S33" i="19"/>
  <c r="O117" i="19"/>
  <c r="S74" i="19"/>
  <c r="T74" i="19"/>
  <c r="P109" i="19"/>
  <c r="Q101" i="19"/>
  <c r="S95" i="19"/>
  <c r="U95" i="19" s="1"/>
  <c r="Q14" i="19"/>
  <c r="T31" i="19"/>
  <c r="U31" i="19" s="1"/>
  <c r="Q109" i="19"/>
  <c r="R101" i="19"/>
  <c r="E120" i="12"/>
  <c r="Q130" i="8"/>
  <c r="P133" i="8"/>
  <c r="M172" i="2"/>
  <c r="M487" i="2"/>
  <c r="R487" i="2" s="1"/>
  <c r="S487" i="2" s="1"/>
  <c r="T487" i="2" s="1"/>
  <c r="U487" i="2" s="1"/>
  <c r="O487" i="2"/>
  <c r="P487" i="2" s="1"/>
  <c r="Q487" i="2" s="1"/>
  <c r="O297" i="2"/>
  <c r="P297" i="2" s="1"/>
  <c r="Q297" i="2" s="1"/>
  <c r="O426" i="2"/>
  <c r="P426" i="2" s="1"/>
  <c r="Q426" i="2" s="1"/>
  <c r="M408" i="2"/>
  <c r="R408" i="2" s="1"/>
  <c r="O463" i="2"/>
  <c r="P463" i="2" s="1"/>
  <c r="Q463" i="2" s="1"/>
  <c r="O166" i="2"/>
  <c r="P166" i="2" s="1"/>
  <c r="Q166" i="2" s="1"/>
  <c r="O28" i="2"/>
  <c r="P28" i="2" s="1"/>
  <c r="Q28" i="2" s="1"/>
  <c r="O24" i="2"/>
  <c r="P24" i="2" s="1"/>
  <c r="Q24" i="2" s="1"/>
  <c r="O372" i="2"/>
  <c r="P372" i="2" s="1"/>
  <c r="Q372" i="2" s="1"/>
  <c r="O295" i="2"/>
  <c r="P295" i="2" s="1"/>
  <c r="Q295" i="2" s="1"/>
  <c r="M404" i="2"/>
  <c r="R404" i="2" s="1"/>
  <c r="M256" i="2"/>
  <c r="R256" i="2" s="1"/>
  <c r="M221" i="2"/>
  <c r="R221" i="2" s="1"/>
  <c r="M458" i="2"/>
  <c r="M295" i="2"/>
  <c r="R295" i="2" s="1"/>
  <c r="M299" i="2"/>
  <c r="R299" i="2" s="1"/>
  <c r="M368" i="2"/>
  <c r="O116" i="8"/>
  <c r="P116" i="8"/>
  <c r="B70" i="12"/>
  <c r="M238" i="2"/>
  <c r="R238" i="2" s="1"/>
  <c r="S238" i="2" s="1"/>
  <c r="T238" i="2" s="1"/>
  <c r="U238" i="2" s="1"/>
  <c r="M297" i="2"/>
  <c r="R297" i="2" s="1"/>
  <c r="M421" i="2"/>
  <c r="M322" i="2"/>
  <c r="R322" i="2" s="1"/>
  <c r="M181" i="2"/>
  <c r="R181" i="2" s="1"/>
  <c r="M17" i="2"/>
  <c r="M30" i="2"/>
  <c r="R30" i="2" s="1"/>
  <c r="S30" i="2" s="1"/>
  <c r="T30" i="2" s="1"/>
  <c r="U30" i="2" s="1"/>
  <c r="M179" i="2"/>
  <c r="R179" i="2" s="1"/>
  <c r="M114" i="2"/>
  <c r="R114" i="2" s="1"/>
  <c r="S114" i="2" s="1"/>
  <c r="T114" i="2" s="1"/>
  <c r="U114" i="2" s="1"/>
  <c r="M153" i="2"/>
  <c r="M395" i="2"/>
  <c r="R395" i="2" s="1"/>
  <c r="M15" i="2"/>
  <c r="R15" i="2" s="1"/>
  <c r="P427" i="2"/>
  <c r="Q427" i="2" s="1"/>
  <c r="R427" i="2" s="1"/>
  <c r="Q1016" i="5"/>
  <c r="M46" i="8"/>
  <c r="M15" i="8"/>
  <c r="M43" i="8"/>
  <c r="K14" i="8"/>
  <c r="L14" i="8" s="1"/>
  <c r="M14" i="8" s="1"/>
  <c r="K470" i="2"/>
  <c r="L470" i="2" s="1"/>
  <c r="M470" i="2" s="1"/>
  <c r="M469" i="2"/>
  <c r="O364" i="2"/>
  <c r="P364" i="2" s="1"/>
  <c r="Q364" i="2" s="1"/>
  <c r="O161" i="2"/>
  <c r="N422" i="2"/>
  <c r="O422" i="2" s="1"/>
  <c r="Q718" i="5"/>
  <c r="P568" i="5"/>
  <c r="Q568" i="5" s="1"/>
  <c r="P635" i="5"/>
  <c r="Q635" i="5" s="1"/>
  <c r="P21" i="8"/>
  <c r="Q21" i="8"/>
  <c r="O124" i="8"/>
  <c r="D70" i="12" s="1"/>
  <c r="O374" i="2"/>
  <c r="P374" i="2" s="1"/>
  <c r="Q374" i="2" s="1"/>
  <c r="O123" i="2"/>
  <c r="P123" i="2" s="1"/>
  <c r="Q123" i="2" s="1"/>
  <c r="O187" i="2"/>
  <c r="P187" i="2" s="1"/>
  <c r="Q187" i="2" s="1"/>
  <c r="N424" i="2"/>
  <c r="O424" i="2" s="1"/>
  <c r="N464" i="2"/>
  <c r="O464" i="2" s="1"/>
  <c r="Q140" i="8"/>
  <c r="Q32" i="8"/>
  <c r="Q116" i="8"/>
  <c r="P124" i="8"/>
  <c r="P110" i="8"/>
  <c r="Q65" i="8"/>
  <c r="Q110" i="8" s="1"/>
  <c r="O110" i="8"/>
  <c r="D64" i="12"/>
  <c r="O13" i="8"/>
  <c r="P13" i="8" s="1"/>
  <c r="Q13" i="8" s="1"/>
  <c r="N14" i="8"/>
  <c r="O46" i="8"/>
  <c r="P46" i="8" s="1"/>
  <c r="Q46" i="8" s="1"/>
  <c r="N47" i="8"/>
  <c r="O47" i="8" s="1"/>
  <c r="O137" i="8"/>
  <c r="N138" i="8"/>
  <c r="K16" i="8"/>
  <c r="L16" i="8" s="1"/>
  <c r="M16" i="8" s="1"/>
  <c r="E103" i="12"/>
  <c r="R200" i="2"/>
  <c r="S200" i="2" s="1"/>
  <c r="P265" i="2"/>
  <c r="Q265" i="2" s="1"/>
  <c r="Q124" i="8"/>
  <c r="P137" i="8"/>
  <c r="Q137" i="8" s="1"/>
  <c r="R435" i="2"/>
  <c r="S435" i="2" s="1"/>
  <c r="T435" i="2" s="1"/>
  <c r="U435" i="2" s="1"/>
  <c r="M397" i="2"/>
  <c r="R397" i="2" s="1"/>
  <c r="R66" i="2"/>
  <c r="S66" i="2" s="1"/>
  <c r="O382" i="2"/>
  <c r="P281" i="2"/>
  <c r="Q281" i="2" s="1"/>
  <c r="O268" i="2"/>
  <c r="P268" i="2" s="1"/>
  <c r="Q268" i="2" s="1"/>
  <c r="R268" i="2" s="1"/>
  <c r="S268" i="2" s="1"/>
  <c r="T268" i="2" s="1"/>
  <c r="U268" i="2" s="1"/>
  <c r="R374" i="2"/>
  <c r="M402" i="2"/>
  <c r="R402" i="2" s="1"/>
  <c r="R198" i="2"/>
  <c r="S198" i="2" s="1"/>
  <c r="T198" i="2" s="1"/>
  <c r="U198" i="2" s="1"/>
  <c r="K389" i="2"/>
  <c r="L389" i="2" s="1"/>
  <c r="M389" i="2" s="1"/>
  <c r="Q124" i="2"/>
  <c r="N431" i="2"/>
  <c r="O431" i="2" s="1"/>
  <c r="P431" i="2" s="1"/>
  <c r="Q431" i="2" s="1"/>
  <c r="B74" i="12"/>
  <c r="O138" i="8"/>
  <c r="P138" i="8" s="1"/>
  <c r="Q138" i="8" s="1"/>
  <c r="U88" i="18"/>
  <c r="U81" i="19"/>
  <c r="S85" i="19"/>
  <c r="T85" i="19" s="1"/>
  <c r="P20" i="19"/>
  <c r="Q20" i="19" s="1"/>
  <c r="U125" i="18"/>
  <c r="T76" i="18"/>
  <c r="T411" i="18"/>
  <c r="U411" i="18" s="1"/>
  <c r="S245" i="18"/>
  <c r="S252" i="18"/>
  <c r="R252" i="18"/>
  <c r="T243" i="18"/>
  <c r="N395" i="2"/>
  <c r="N396" i="2" s="1"/>
  <c r="O396" i="2" s="1"/>
  <c r="T221" i="18"/>
  <c r="P221" i="18"/>
  <c r="Q221" i="18"/>
  <c r="U166" i="18"/>
  <c r="T71" i="18"/>
  <c r="U71" i="18" s="1"/>
  <c r="N408" i="2"/>
  <c r="N409" i="2" s="1"/>
  <c r="O409" i="2" s="1"/>
  <c r="P409" i="2" s="1"/>
  <c r="Q409" i="2" s="1"/>
  <c r="R409" i="2" s="1"/>
  <c r="S409" i="2" s="1"/>
  <c r="P16" i="18"/>
  <c r="T16" i="18"/>
  <c r="T384" i="18"/>
  <c r="U384" i="18" s="1"/>
  <c r="T96" i="18"/>
  <c r="U96" i="18" s="1"/>
  <c r="U170" i="18"/>
  <c r="T193" i="18"/>
  <c r="R196" i="18"/>
  <c r="U153" i="18"/>
  <c r="U97" i="18"/>
  <c r="U74" i="19"/>
  <c r="U102" i="19"/>
  <c r="T14" i="19"/>
  <c r="U103" i="18"/>
  <c r="T230" i="18"/>
  <c r="T191" i="18"/>
  <c r="T108" i="18"/>
  <c r="U108" i="18"/>
  <c r="T94" i="19"/>
  <c r="U94" i="19" s="1"/>
  <c r="S79" i="19"/>
  <c r="S49" i="19"/>
  <c r="U107" i="19"/>
  <c r="T95" i="19"/>
  <c r="T44" i="19"/>
  <c r="U44" i="19" s="1"/>
  <c r="U29" i="19"/>
  <c r="S217" i="18"/>
  <c r="U169" i="18"/>
  <c r="U89" i="18"/>
  <c r="T89" i="18"/>
  <c r="R60" i="18"/>
  <c r="S60" i="18" s="1"/>
  <c r="R70" i="18"/>
  <c r="S70" i="18" s="1"/>
  <c r="O22" i="18"/>
  <c r="N336" i="2"/>
  <c r="O336" i="2" s="1"/>
  <c r="P336" i="2" s="1"/>
  <c r="Q336" i="2" s="1"/>
  <c r="P24" i="18"/>
  <c r="Q24" i="18"/>
  <c r="N465" i="2"/>
  <c r="O465" i="2" s="1"/>
  <c r="P465" i="2" s="1"/>
  <c r="Q465" i="2" s="1"/>
  <c r="P25" i="18"/>
  <c r="Q25" i="18" s="1"/>
  <c r="N162" i="2"/>
  <c r="N163" i="2" s="1"/>
  <c r="O163" i="2" s="1"/>
  <c r="P43" i="18"/>
  <c r="Q43" i="18"/>
  <c r="N164" i="2"/>
  <c r="O164" i="2" s="1"/>
  <c r="P164" i="2" s="1"/>
  <c r="Q164" i="2" s="1"/>
  <c r="P44" i="18"/>
  <c r="Q44" i="18" s="1"/>
  <c r="R67" i="18"/>
  <c r="S67" i="18" s="1"/>
  <c r="T67" i="18" s="1"/>
  <c r="U67" i="18" s="1"/>
  <c r="R93" i="18"/>
  <c r="R98" i="18"/>
  <c r="S98" i="18" s="1"/>
  <c r="R105" i="18"/>
  <c r="R115" i="18"/>
  <c r="N368" i="2"/>
  <c r="O368" i="2" s="1"/>
  <c r="P368" i="2" s="1"/>
  <c r="Q368" i="2" s="1"/>
  <c r="P133" i="18"/>
  <c r="Q133" i="18" s="1"/>
  <c r="U288" i="18"/>
  <c r="S288" i="18"/>
  <c r="T288" i="18" s="1"/>
  <c r="R62" i="18"/>
  <c r="R85" i="18"/>
  <c r="N325" i="2"/>
  <c r="N326" i="2" s="1"/>
  <c r="P289" i="18"/>
  <c r="Q289" i="18"/>
  <c r="P23" i="18"/>
  <c r="Q23" i="18" s="1"/>
  <c r="N461" i="2"/>
  <c r="N462" i="2" s="1"/>
  <c r="O462" i="2" s="1"/>
  <c r="P32" i="18"/>
  <c r="Q32" i="18" s="1"/>
  <c r="P40" i="18"/>
  <c r="Q40" i="18"/>
  <c r="N158" i="2"/>
  <c r="O158" i="2" s="1"/>
  <c r="P158" i="2" s="1"/>
  <c r="Q158" i="2" s="1"/>
  <c r="P41" i="18"/>
  <c r="Q41" i="18" s="1"/>
  <c r="P42" i="18"/>
  <c r="Q42" i="18"/>
  <c r="R91" i="18"/>
  <c r="R106" i="18"/>
  <c r="R117" i="18"/>
  <c r="S117" i="18" s="1"/>
  <c r="R164" i="18"/>
  <c r="R167" i="18"/>
  <c r="S167" i="18" s="1"/>
  <c r="T167" i="18" s="1"/>
  <c r="R168" i="18"/>
  <c r="R173" i="18"/>
  <c r="R260" i="18"/>
  <c r="S260" i="18" s="1"/>
  <c r="S262" i="18" s="1"/>
  <c r="R303" i="18"/>
  <c r="P132" i="18"/>
  <c r="P137" i="18"/>
  <c r="Q137" i="18"/>
  <c r="P184" i="18"/>
  <c r="Q184" i="18" s="1"/>
  <c r="N220" i="2"/>
  <c r="O220" i="2" s="1"/>
  <c r="P206" i="18"/>
  <c r="Q206" i="18" s="1"/>
  <c r="P209" i="18"/>
  <c r="Q209" i="18"/>
  <c r="P220" i="18"/>
  <c r="P225" i="18" s="1"/>
  <c r="O255" i="18"/>
  <c r="P265" i="18"/>
  <c r="P267" i="18"/>
  <c r="Q267" i="18" s="1"/>
  <c r="P269" i="18"/>
  <c r="Q269" i="18"/>
  <c r="P271" i="18"/>
  <c r="Q271" i="18" s="1"/>
  <c r="P273" i="18"/>
  <c r="Q273" i="18"/>
  <c r="P276" i="18"/>
  <c r="Q276" i="18" s="1"/>
  <c r="P282" i="18"/>
  <c r="Q282" i="18"/>
  <c r="S284" i="18"/>
  <c r="T284" i="18" s="1"/>
  <c r="P286" i="18"/>
  <c r="Q286" i="18"/>
  <c r="P290" i="18"/>
  <c r="Q290" i="18" s="1"/>
  <c r="O291" i="18"/>
  <c r="R348" i="18"/>
  <c r="R407" i="18"/>
  <c r="S407" i="18" s="1"/>
  <c r="P134" i="18"/>
  <c r="Q134" i="18" s="1"/>
  <c r="S291" i="18"/>
  <c r="S379" i="18"/>
  <c r="T379" i="18" s="1"/>
  <c r="U379" i="18"/>
  <c r="S390" i="18"/>
  <c r="T390" i="18"/>
  <c r="U390" i="18"/>
  <c r="P183" i="18"/>
  <c r="P185" i="18"/>
  <c r="Q185" i="18"/>
  <c r="N470" i="2"/>
  <c r="O470" i="2" s="1"/>
  <c r="P205" i="18"/>
  <c r="P207" i="18"/>
  <c r="Q207" i="18" s="1"/>
  <c r="P235" i="18"/>
  <c r="P268" i="18"/>
  <c r="Q268" i="18"/>
  <c r="P272" i="18"/>
  <c r="Q272" i="18" s="1"/>
  <c r="P287" i="18"/>
  <c r="Q287" i="18"/>
  <c r="R424" i="18"/>
  <c r="S424" i="18" s="1"/>
  <c r="P186" i="18"/>
  <c r="Q186" i="18"/>
  <c r="P208" i="18"/>
  <c r="Q208" i="18" s="1"/>
  <c r="P266" i="18"/>
  <c r="Q266" i="18"/>
  <c r="P270" i="18"/>
  <c r="Q270" i="18" s="1"/>
  <c r="P278" i="18"/>
  <c r="Q278" i="18"/>
  <c r="R396" i="18"/>
  <c r="T396" i="18" s="1"/>
  <c r="R415" i="18"/>
  <c r="U417" i="18"/>
  <c r="R32" i="19"/>
  <c r="S32" i="19" s="1"/>
  <c r="T32" i="19" s="1"/>
  <c r="R21" i="19"/>
  <c r="T21" i="19" s="1"/>
  <c r="U21" i="19" s="1"/>
  <c r="R28" i="19"/>
  <c r="R34" i="19"/>
  <c r="P42" i="19"/>
  <c r="R113" i="19"/>
  <c r="S113" i="19" s="1"/>
  <c r="T113" i="19" s="1"/>
  <c r="N109" i="19"/>
  <c r="N117" i="19"/>
  <c r="N128" i="19" s="1"/>
  <c r="Q42" i="19"/>
  <c r="P291" i="18"/>
  <c r="Q291" i="18"/>
  <c r="O295" i="18"/>
  <c r="T291" i="18"/>
  <c r="S303" i="18"/>
  <c r="U167" i="18"/>
  <c r="S91" i="18"/>
  <c r="T91" i="18" s="1"/>
  <c r="S105" i="18"/>
  <c r="T105" i="18" s="1"/>
  <c r="N17" i="2"/>
  <c r="O17" i="2" s="1"/>
  <c r="P17" i="2" s="1"/>
  <c r="Q17" i="2" s="1"/>
  <c r="P22" i="18"/>
  <c r="Q22" i="18" s="1"/>
  <c r="T22" i="18"/>
  <c r="O120" i="18"/>
  <c r="T79" i="19"/>
  <c r="T34" i="19"/>
  <c r="U34" i="19" s="1"/>
  <c r="S34" i="19"/>
  <c r="T424" i="18"/>
  <c r="U424" i="18"/>
  <c r="Q235" i="18"/>
  <c r="P237" i="18"/>
  <c r="Q220" i="18"/>
  <c r="Q225" i="18"/>
  <c r="R262" i="18"/>
  <c r="S85" i="18"/>
  <c r="T85" i="18" s="1"/>
  <c r="U85" i="18" s="1"/>
  <c r="Q16" i="18"/>
  <c r="O142" i="8"/>
  <c r="D74" i="12" s="1"/>
  <c r="C74" i="12" s="1"/>
  <c r="U85" i="19"/>
  <c r="S415" i="18"/>
  <c r="Q183" i="18"/>
  <c r="Q196" i="18"/>
  <c r="P196" i="18"/>
  <c r="Q265" i="18"/>
  <c r="S173" i="18"/>
  <c r="T173" i="18" s="1"/>
  <c r="U117" i="18"/>
  <c r="T117" i="18"/>
  <c r="S62" i="18"/>
  <c r="T62" i="18"/>
  <c r="U62" i="18"/>
  <c r="U49" i="19"/>
  <c r="U191" i="18"/>
  <c r="T245" i="18"/>
  <c r="U245" i="18" s="1"/>
  <c r="U252" i="18" s="1"/>
  <c r="S28" i="19"/>
  <c r="S21" i="19"/>
  <c r="S37" i="19" s="1"/>
  <c r="S396" i="18"/>
  <c r="Q205" i="18"/>
  <c r="Q217" i="18" s="1"/>
  <c r="S348" i="18"/>
  <c r="T348" i="18"/>
  <c r="T255" i="18"/>
  <c r="T262" i="18" s="1"/>
  <c r="O262" i="18"/>
  <c r="P255" i="18"/>
  <c r="P262" i="18" s="1"/>
  <c r="Q132" i="18"/>
  <c r="S168" i="18"/>
  <c r="T106" i="18"/>
  <c r="U106" i="18"/>
  <c r="S106" i="18"/>
  <c r="S115" i="18"/>
  <c r="T115" i="18"/>
  <c r="U115" i="18" s="1"/>
  <c r="T168" i="18"/>
  <c r="U348" i="18"/>
  <c r="T98" i="18"/>
  <c r="Q237" i="18"/>
  <c r="R235" i="18"/>
  <c r="U105" i="18"/>
  <c r="U79" i="19"/>
  <c r="T60" i="18"/>
  <c r="Q255" i="18"/>
  <c r="Q262" i="18" s="1"/>
  <c r="T260" i="18"/>
  <c r="U260" i="18"/>
  <c r="U262" i="18"/>
  <c r="U60" i="18"/>
  <c r="Q528" i="5"/>
  <c r="Q720" i="5"/>
  <c r="N16" i="2"/>
  <c r="O16" i="2" s="1"/>
  <c r="P16" i="2" s="1"/>
  <c r="Q16" i="2" s="1"/>
  <c r="R16" i="2" s="1"/>
  <c r="D124" i="12"/>
  <c r="E124" i="12" s="1"/>
  <c r="H124" i="12" s="1"/>
  <c r="P1007" i="5"/>
  <c r="O670" i="5"/>
  <c r="P670" i="5" s="1"/>
  <c r="Q670" i="5" s="1"/>
  <c r="Q1009" i="5"/>
  <c r="C64" i="12"/>
  <c r="Q142" i="8"/>
  <c r="P142" i="8"/>
  <c r="Q133" i="8"/>
  <c r="K44" i="8"/>
  <c r="K49" i="8"/>
  <c r="L49" i="8" s="1"/>
  <c r="M49" i="8" s="1"/>
  <c r="L31" i="2"/>
  <c r="M31" i="2" s="1"/>
  <c r="O299" i="2"/>
  <c r="P299" i="2" s="1"/>
  <c r="Q299" i="2" s="1"/>
  <c r="R50" i="2"/>
  <c r="S50" i="2" s="1"/>
  <c r="T50" i="2" s="1"/>
  <c r="U50" i="2" s="1"/>
  <c r="O5" i="5"/>
  <c r="R592" i="5" s="1"/>
  <c r="R247" i="2"/>
  <c r="S247" i="2" s="1"/>
  <c r="Q328" i="2"/>
  <c r="R328" i="2"/>
  <c r="P468" i="2"/>
  <c r="Q468" i="2" s="1"/>
  <c r="R468" i="2" s="1"/>
  <c r="S468" i="2" s="1"/>
  <c r="T468" i="2" s="1"/>
  <c r="U468" i="2" s="1"/>
  <c r="R54" i="2"/>
  <c r="S54" i="2" s="1"/>
  <c r="R438" i="2"/>
  <c r="S438" i="2" s="1"/>
  <c r="M473" i="2"/>
  <c r="R473" i="2" s="1"/>
  <c r="S473" i="2" s="1"/>
  <c r="R445" i="2"/>
  <c r="S445" i="2" s="1"/>
  <c r="R137" i="2"/>
  <c r="S137" i="2" s="1"/>
  <c r="T137" i="2" s="1"/>
  <c r="U137" i="2" s="1"/>
  <c r="O474" i="2"/>
  <c r="P474" i="2" s="1"/>
  <c r="Q474" i="2" s="1"/>
  <c r="N249" i="2"/>
  <c r="B22" i="12" s="1"/>
  <c r="P306" i="2"/>
  <c r="Q306" i="2" s="1"/>
  <c r="R306" i="2" s="1"/>
  <c r="R443" i="2"/>
  <c r="P373" i="2"/>
  <c r="Q373" i="2" s="1"/>
  <c r="R373" i="2" s="1"/>
  <c r="S373" i="2" s="1"/>
  <c r="T373" i="2" s="1"/>
  <c r="U373" i="2" s="1"/>
  <c r="P214" i="2"/>
  <c r="Q214" i="2" s="1"/>
  <c r="R447" i="2"/>
  <c r="S447" i="2" s="1"/>
  <c r="T447" i="2" s="1"/>
  <c r="U447" i="2" s="1"/>
  <c r="P31" i="2"/>
  <c r="Q31" i="2" s="1"/>
  <c r="R31" i="2" s="1"/>
  <c r="S31" i="2" s="1"/>
  <c r="T31" i="2" s="1"/>
  <c r="U31" i="2" s="1"/>
  <c r="R46" i="2"/>
  <c r="S46" i="2" s="1"/>
  <c r="T46" i="2" s="1"/>
  <c r="U46" i="2" s="1"/>
  <c r="L398" i="2"/>
  <c r="M398" i="2" s="1"/>
  <c r="P193" i="2"/>
  <c r="Q193" i="2" s="1"/>
  <c r="L403" i="2"/>
  <c r="M403" i="2" s="1"/>
  <c r="L474" i="2"/>
  <c r="M474" i="2" s="1"/>
  <c r="R142" i="2"/>
  <c r="S142" i="2" s="1"/>
  <c r="M167" i="2"/>
  <c r="P167" i="2"/>
  <c r="Q167" i="2" s="1"/>
  <c r="T418" i="2"/>
  <c r="U418" i="2" s="1"/>
  <c r="R45" i="2"/>
  <c r="S45" i="2" s="1"/>
  <c r="R348" i="2"/>
  <c r="S348" i="2" s="1"/>
  <c r="T348" i="2" s="1"/>
  <c r="U348" i="2" s="1"/>
  <c r="R213" i="2"/>
  <c r="S213" i="2" s="1"/>
  <c r="R51" i="2"/>
  <c r="S51" i="2" s="1"/>
  <c r="R57" i="2"/>
  <c r="S57" i="2" s="1"/>
  <c r="P239" i="2"/>
  <c r="Q239" i="2" s="1"/>
  <c r="R239" i="2" s="1"/>
  <c r="S239" i="2" s="1"/>
  <c r="T239" i="2" s="1"/>
  <c r="U239" i="2" s="1"/>
  <c r="P300" i="2"/>
  <c r="Q300" i="2" s="1"/>
  <c r="R300" i="2" s="1"/>
  <c r="S300" i="2" s="1"/>
  <c r="T300" i="2" s="1"/>
  <c r="U300" i="2" s="1"/>
  <c r="S477" i="2"/>
  <c r="T477" i="2" s="1"/>
  <c r="U477" i="2" s="1"/>
  <c r="N459" i="2"/>
  <c r="M158" i="2"/>
  <c r="R158" i="2" s="1"/>
  <c r="M342" i="2"/>
  <c r="R342" i="2" s="1"/>
  <c r="O402" i="2"/>
  <c r="P402" i="2" s="1"/>
  <c r="Q402" i="2" s="1"/>
  <c r="S35" i="2"/>
  <c r="T35" i="2" s="1"/>
  <c r="U35" i="2" s="1"/>
  <c r="O467" i="2"/>
  <c r="P467" i="2" s="1"/>
  <c r="Q467" i="2" s="1"/>
  <c r="P429" i="2"/>
  <c r="Q429" i="2" s="1"/>
  <c r="R429" i="2" s="1"/>
  <c r="S429" i="2" s="1"/>
  <c r="M485" i="2"/>
  <c r="R485" i="2" s="1"/>
  <c r="S485" i="2" s="1"/>
  <c r="M386" i="2"/>
  <c r="R386" i="2" s="1"/>
  <c r="M267" i="2"/>
  <c r="R267" i="2" s="1"/>
  <c r="N278" i="2"/>
  <c r="B26" i="12" s="1"/>
  <c r="M111" i="2"/>
  <c r="R111" i="2" s="1"/>
  <c r="L400" i="2"/>
  <c r="M400" i="2" s="1"/>
  <c r="P400" i="2"/>
  <c r="Q400" i="2" s="1"/>
  <c r="K117" i="2"/>
  <c r="L117" i="2" s="1"/>
  <c r="M117" i="2" s="1"/>
  <c r="M116" i="2"/>
  <c r="R116" i="2" s="1"/>
  <c r="S491" i="2"/>
  <c r="T491" i="2" s="1"/>
  <c r="U491" i="2" s="1"/>
  <c r="K29" i="2"/>
  <c r="L29" i="2" s="1"/>
  <c r="M29" i="2" s="1"/>
  <c r="M28" i="2"/>
  <c r="R28" i="2" s="1"/>
  <c r="K22" i="2"/>
  <c r="M21" i="2"/>
  <c r="R21" i="2" s="1"/>
  <c r="S21" i="2" s="1"/>
  <c r="T21" i="2" s="1"/>
  <c r="U21" i="2" s="1"/>
  <c r="S185" i="2"/>
  <c r="T185" i="2" s="1"/>
  <c r="U185" i="2" s="1"/>
  <c r="M399" i="2"/>
  <c r="R399" i="2" s="1"/>
  <c r="S399" i="2" s="1"/>
  <c r="T399" i="2" s="1"/>
  <c r="U399" i="2" s="1"/>
  <c r="M428" i="2"/>
  <c r="R428" i="2" s="1"/>
  <c r="S428" i="2" s="1"/>
  <c r="T428" i="2" s="1"/>
  <c r="U428" i="2" s="1"/>
  <c r="M293" i="2"/>
  <c r="R293" i="2" s="1"/>
  <c r="S293" i="2" s="1"/>
  <c r="T293" i="2" s="1"/>
  <c r="U293" i="2" s="1"/>
  <c r="O381" i="2"/>
  <c r="P381" i="2" s="1"/>
  <c r="Q381" i="2" s="1"/>
  <c r="R364" i="2"/>
  <c r="R370" i="2"/>
  <c r="R493" i="2"/>
  <c r="S493" i="2" s="1"/>
  <c r="N112" i="2"/>
  <c r="O112" i="2" s="1"/>
  <c r="P112" i="2" s="1"/>
  <c r="Q112" i="2" s="1"/>
  <c r="R112" i="2" s="1"/>
  <c r="S112" i="2" s="1"/>
  <c r="T112" i="2" s="1"/>
  <c r="T66" i="2"/>
  <c r="U66" i="2" s="1"/>
  <c r="M471" i="2"/>
  <c r="R471" i="2" s="1"/>
  <c r="M413" i="2"/>
  <c r="R413" i="2" s="1"/>
  <c r="O256" i="2"/>
  <c r="P256" i="2" s="1"/>
  <c r="Q256" i="2" s="1"/>
  <c r="M419" i="2"/>
  <c r="R419" i="2" s="1"/>
  <c r="S419" i="2" s="1"/>
  <c r="T419" i="2" s="1"/>
  <c r="U419" i="2" s="1"/>
  <c r="M305" i="2"/>
  <c r="R305" i="2" s="1"/>
  <c r="S305" i="2" s="1"/>
  <c r="T305" i="2" s="1"/>
  <c r="U305" i="2" s="1"/>
  <c r="O293" i="2"/>
  <c r="P293" i="2" s="1"/>
  <c r="Q293" i="2" s="1"/>
  <c r="R55" i="2"/>
  <c r="R38" i="2"/>
  <c r="R253" i="2"/>
  <c r="S253" i="2" s="1"/>
  <c r="T253" i="2" s="1"/>
  <c r="U253" i="2" s="1"/>
  <c r="P420" i="2"/>
  <c r="Q420" i="2" s="1"/>
  <c r="R420" i="2" s="1"/>
  <c r="S420" i="2" s="1"/>
  <c r="T420" i="2" s="1"/>
  <c r="U420" i="2" s="1"/>
  <c r="R344" i="2"/>
  <c r="S344" i="2" s="1"/>
  <c r="T344" i="2" s="1"/>
  <c r="U344" i="2" s="1"/>
  <c r="L343" i="2"/>
  <c r="M343" i="2" s="1"/>
  <c r="K27" i="2"/>
  <c r="L27" i="2" s="1"/>
  <c r="M27" i="2" s="1"/>
  <c r="M26" i="2"/>
  <c r="R26" i="2" s="1"/>
  <c r="M393" i="2"/>
  <c r="R393" i="2" s="1"/>
  <c r="S393" i="2" s="1"/>
  <c r="K33" i="2"/>
  <c r="P33" i="2" s="1"/>
  <c r="Q33" i="2" s="1"/>
  <c r="M32" i="2"/>
  <c r="R32" i="2" s="1"/>
  <c r="L47" i="8"/>
  <c r="M47" i="8" s="1"/>
  <c r="P47" i="8"/>
  <c r="Q47" i="8" s="1"/>
  <c r="K382" i="2"/>
  <c r="L382" i="2" s="1"/>
  <c r="M382" i="2" s="1"/>
  <c r="M381" i="2"/>
  <c r="R381" i="2" s="1"/>
  <c r="S381" i="2" s="1"/>
  <c r="T381" i="2" s="1"/>
  <c r="U381" i="2" s="1"/>
  <c r="P304" i="2"/>
  <c r="Q304" i="2" s="1"/>
  <c r="R304" i="2" s="1"/>
  <c r="M426" i="2"/>
  <c r="R426" i="2" s="1"/>
  <c r="M430" i="2"/>
  <c r="R430" i="2" s="1"/>
  <c r="S430" i="2" s="1"/>
  <c r="T430" i="2" s="1"/>
  <c r="U430" i="2" s="1"/>
  <c r="M291" i="2"/>
  <c r="R291" i="2" s="1"/>
  <c r="S291" i="2" s="1"/>
  <c r="O238" i="2"/>
  <c r="P238" i="2" s="1"/>
  <c r="Q238" i="2" s="1"/>
  <c r="O416" i="2"/>
  <c r="P416" i="2" s="1"/>
  <c r="Q416" i="2" s="1"/>
  <c r="O174" i="2"/>
  <c r="P174" i="2" s="1"/>
  <c r="Q174" i="2" s="1"/>
  <c r="O303" i="2"/>
  <c r="P303" i="2" s="1"/>
  <c r="Q303" i="2" s="1"/>
  <c r="O388" i="2"/>
  <c r="P388" i="2" s="1"/>
  <c r="Q388" i="2" s="1"/>
  <c r="O397" i="2"/>
  <c r="P397" i="2" s="1"/>
  <c r="Q397" i="2" s="1"/>
  <c r="R183" i="2"/>
  <c r="S183" i="2" s="1"/>
  <c r="R240" i="2"/>
  <c r="S240" i="2" s="1"/>
  <c r="T240" i="2" s="1"/>
  <c r="U240" i="2" s="1"/>
  <c r="R441" i="2"/>
  <c r="S441" i="2" s="1"/>
  <c r="R58" i="2"/>
  <c r="S58" i="2" s="1"/>
  <c r="T58" i="2" s="1"/>
  <c r="U58" i="2" s="1"/>
  <c r="R75" i="2"/>
  <c r="S75" i="2" s="1"/>
  <c r="T75" i="2" s="1"/>
  <c r="U75" i="2" s="1"/>
  <c r="R67" i="2"/>
  <c r="S67" i="2" s="1"/>
  <c r="R63" i="2"/>
  <c r="S63" i="2" s="1"/>
  <c r="T63" i="2" s="1"/>
  <c r="U63" i="2" s="1"/>
  <c r="R286" i="2"/>
  <c r="S286" i="2" s="1"/>
  <c r="T286" i="2" s="1"/>
  <c r="U286" i="2" s="1"/>
  <c r="M303" i="2"/>
  <c r="R303" i="2" s="1"/>
  <c r="O393" i="2"/>
  <c r="P393" i="2" s="1"/>
  <c r="Q393" i="2" s="1"/>
  <c r="O471" i="2"/>
  <c r="P471" i="2" s="1"/>
  <c r="Q471" i="2" s="1"/>
  <c r="O234" i="2"/>
  <c r="P234" i="2" s="1"/>
  <c r="R155" i="2"/>
  <c r="S155" i="2" s="1"/>
  <c r="T155" i="2" s="1"/>
  <c r="U155" i="2" s="1"/>
  <c r="O267" i="2"/>
  <c r="P267" i="2" s="1"/>
  <c r="Q267" i="2" s="1"/>
  <c r="R319" i="2"/>
  <c r="R324" i="2"/>
  <c r="O419" i="2"/>
  <c r="P419" i="2" s="1"/>
  <c r="Q419" i="2" s="1"/>
  <c r="R192" i="2"/>
  <c r="S192" i="2" s="1"/>
  <c r="R492" i="2"/>
  <c r="R129" i="2"/>
  <c r="O32" i="2"/>
  <c r="P32" i="2" s="1"/>
  <c r="Q32" i="2" s="1"/>
  <c r="R285" i="2"/>
  <c r="S285" i="2" s="1"/>
  <c r="T285" i="2" s="1"/>
  <c r="U285" i="2" s="1"/>
  <c r="O309" i="2"/>
  <c r="P309" i="2" s="1"/>
  <c r="Q309" i="2" s="1"/>
  <c r="R362" i="2"/>
  <c r="K339" i="2"/>
  <c r="L339" i="2" s="1"/>
  <c r="M339" i="2" s="1"/>
  <c r="M338" i="2"/>
  <c r="R338" i="2" s="1"/>
  <c r="S338" i="2" s="1"/>
  <c r="K220" i="2"/>
  <c r="L220" i="2" s="1"/>
  <c r="M220" i="2" s="1"/>
  <c r="M219" i="2"/>
  <c r="R219" i="2" s="1"/>
  <c r="K308" i="2"/>
  <c r="L308" i="2" s="1"/>
  <c r="M308" i="2" s="1"/>
  <c r="M307" i="2"/>
  <c r="R307" i="2" s="1"/>
  <c r="K312" i="2"/>
  <c r="L312" i="2" s="1"/>
  <c r="M312" i="2" s="1"/>
  <c r="M311" i="2"/>
  <c r="R311" i="2" s="1"/>
  <c r="K316" i="2"/>
  <c r="L316" i="2" s="1"/>
  <c r="M316" i="2" s="1"/>
  <c r="M315" i="2"/>
  <c r="R315" i="2" s="1"/>
  <c r="K476" i="2"/>
  <c r="L476" i="2" s="1"/>
  <c r="M476" i="2" s="1"/>
  <c r="M475" i="2"/>
  <c r="R475" i="2" s="1"/>
  <c r="S475" i="2" s="1"/>
  <c r="O404" i="2"/>
  <c r="P404" i="2" s="1"/>
  <c r="Q404" i="2" s="1"/>
  <c r="N405" i="2"/>
  <c r="O405" i="2" s="1"/>
  <c r="P405" i="2" s="1"/>
  <c r="Q405" i="2" s="1"/>
  <c r="R405" i="2" s="1"/>
  <c r="N339" i="2"/>
  <c r="O339" i="2" s="1"/>
  <c r="O338" i="2"/>
  <c r="P338" i="2" s="1"/>
  <c r="Q338" i="2" s="1"/>
  <c r="N20" i="2"/>
  <c r="O20" i="2" s="1"/>
  <c r="O19" i="2"/>
  <c r="P19" i="2" s="1"/>
  <c r="Q19" i="2" s="1"/>
  <c r="N115" i="2"/>
  <c r="O115" i="2" s="1"/>
  <c r="P115" i="2" s="1"/>
  <c r="Q115" i="2" s="1"/>
  <c r="O114" i="2"/>
  <c r="P114" i="2" s="1"/>
  <c r="Q114" i="2" s="1"/>
  <c r="N486" i="2"/>
  <c r="O485" i="2"/>
  <c r="P485" i="2" s="1"/>
  <c r="Q485" i="2" s="1"/>
  <c r="N490" i="2"/>
  <c r="O490" i="2" s="1"/>
  <c r="O489" i="2"/>
  <c r="P489" i="2" s="1"/>
  <c r="Q489" i="2" s="1"/>
  <c r="N392" i="2"/>
  <c r="O392" i="2" s="1"/>
  <c r="O391" i="2"/>
  <c r="P391" i="2" s="1"/>
  <c r="Q391" i="2" s="1"/>
  <c r="N387" i="2"/>
  <c r="O386" i="2"/>
  <c r="P386" i="2" s="1"/>
  <c r="Q386" i="2" s="1"/>
  <c r="N292" i="2"/>
  <c r="O292" i="2" s="1"/>
  <c r="P292" i="2" s="1"/>
  <c r="Q292" i="2" s="1"/>
  <c r="R292" i="2" s="1"/>
  <c r="S292" i="2" s="1"/>
  <c r="O291" i="2"/>
  <c r="P291" i="2" s="1"/>
  <c r="Q291" i="2" s="1"/>
  <c r="N312" i="2"/>
  <c r="O312" i="2" s="1"/>
  <c r="P312" i="2" s="1"/>
  <c r="Q312" i="2" s="1"/>
  <c r="R312" i="2" s="1"/>
  <c r="O311" i="2"/>
  <c r="P311" i="2" s="1"/>
  <c r="Q311" i="2" s="1"/>
  <c r="N314" i="2"/>
  <c r="O314" i="2" s="1"/>
  <c r="O313" i="2"/>
  <c r="P313" i="2" s="1"/>
  <c r="Q313" i="2" s="1"/>
  <c r="N323" i="2"/>
  <c r="O323" i="2" s="1"/>
  <c r="P323" i="2" s="1"/>
  <c r="Q323" i="2" s="1"/>
  <c r="O322" i="2"/>
  <c r="P322" i="2" s="1"/>
  <c r="Q322" i="2" s="1"/>
  <c r="K411" i="2"/>
  <c r="P411" i="2" s="1"/>
  <c r="Q411" i="2" s="1"/>
  <c r="M410" i="2"/>
  <c r="R410" i="2" s="1"/>
  <c r="S410" i="2" s="1"/>
  <c r="K417" i="2"/>
  <c r="L417" i="2" s="1"/>
  <c r="M417" i="2" s="1"/>
  <c r="M416" i="2"/>
  <c r="R416" i="2" s="1"/>
  <c r="S416" i="2" s="1"/>
  <c r="T416" i="2" s="1"/>
  <c r="U416" i="2" s="1"/>
  <c r="K255" i="2"/>
  <c r="L255" i="2" s="1"/>
  <c r="M255" i="2" s="1"/>
  <c r="M254" i="2"/>
  <c r="R254" i="2" s="1"/>
  <c r="K424" i="2"/>
  <c r="L424" i="2" s="1"/>
  <c r="M424" i="2" s="1"/>
  <c r="M423" i="2"/>
  <c r="R423" i="2" s="1"/>
  <c r="S423" i="2" s="1"/>
  <c r="R17" i="2"/>
  <c r="R421" i="2"/>
  <c r="S421" i="2" s="1"/>
  <c r="T421" i="2" s="1"/>
  <c r="U421" i="2" s="1"/>
  <c r="R224" i="2"/>
  <c r="R376" i="2"/>
  <c r="R14" i="2"/>
  <c r="R23" i="2"/>
  <c r="R36" i="2"/>
  <c r="S36" i="2" s="1"/>
  <c r="R363" i="2"/>
  <c r="R282" i="2"/>
  <c r="S282" i="2" s="1"/>
  <c r="R317" i="2"/>
  <c r="S317" i="2" s="1"/>
  <c r="T317" i="2" s="1"/>
  <c r="U317" i="2" s="1"/>
  <c r="R478" i="2"/>
  <c r="S478" i="2" s="1"/>
  <c r="R127" i="2"/>
  <c r="S127" i="2" s="1"/>
  <c r="R125" i="2"/>
  <c r="S125" i="2" s="1"/>
  <c r="R415" i="2"/>
  <c r="S415" i="2" s="1"/>
  <c r="R53" i="2"/>
  <c r="S53" i="2" s="1"/>
  <c r="R433" i="2"/>
  <c r="S433" i="2" s="1"/>
  <c r="T433" i="2" s="1"/>
  <c r="U433" i="2" s="1"/>
  <c r="R61" i="2"/>
  <c r="S61" i="2" s="1"/>
  <c r="R368" i="2"/>
  <c r="R172" i="2"/>
  <c r="S172" i="2" s="1"/>
  <c r="T172" i="2" s="1"/>
  <c r="U172" i="2" s="1"/>
  <c r="R56" i="2"/>
  <c r="S56" i="2" s="1"/>
  <c r="T56" i="2" s="1"/>
  <c r="U56" i="2" s="1"/>
  <c r="R178" i="2"/>
  <c r="R388" i="2"/>
  <c r="S388" i="2" s="1"/>
  <c r="T388" i="2" s="1"/>
  <c r="U388" i="2" s="1"/>
  <c r="R121" i="2"/>
  <c r="R118" i="2"/>
  <c r="S118" i="2" s="1"/>
  <c r="T118" i="2" s="1"/>
  <c r="U118" i="2" s="1"/>
  <c r="R177" i="2"/>
  <c r="R406" i="2"/>
  <c r="R281" i="2"/>
  <c r="S281" i="2" s="1"/>
  <c r="T281" i="2" s="1"/>
  <c r="R283" i="2"/>
  <c r="S283" i="2" s="1"/>
  <c r="T283" i="2" s="1"/>
  <c r="U283" i="2" s="1"/>
  <c r="R318" i="2"/>
  <c r="S318" i="2" s="1"/>
  <c r="T318" i="2" s="1"/>
  <c r="U318" i="2" s="1"/>
  <c r="R124" i="2"/>
  <c r="S124" i="2" s="1"/>
  <c r="T124" i="2" s="1"/>
  <c r="U124" i="2" s="1"/>
  <c r="R460" i="2"/>
  <c r="S460" i="2" s="1"/>
  <c r="T460" i="2" s="1"/>
  <c r="U460" i="2" s="1"/>
  <c r="R128" i="2"/>
  <c r="S128" i="2" s="1"/>
  <c r="R266" i="2"/>
  <c r="S266" i="2" s="1"/>
  <c r="T266" i="2" s="1"/>
  <c r="U266" i="2" s="1"/>
  <c r="R269" i="2"/>
  <c r="S269" i="2" s="1"/>
  <c r="T269" i="2" s="1"/>
  <c r="U269" i="2" s="1"/>
  <c r="R241" i="2"/>
  <c r="S241" i="2" s="1"/>
  <c r="T241" i="2" s="1"/>
  <c r="U241" i="2" s="1"/>
  <c r="R275" i="2"/>
  <c r="S275" i="2" s="1"/>
  <c r="T275" i="2" s="1"/>
  <c r="U275" i="2" s="1"/>
  <c r="R194" i="2"/>
  <c r="S194" i="2" s="1"/>
  <c r="T194" i="2" s="1"/>
  <c r="U194" i="2" s="1"/>
  <c r="R59" i="2"/>
  <c r="S59" i="2" s="1"/>
  <c r="T59" i="2" s="1"/>
  <c r="U59" i="2" s="1"/>
  <c r="R65" i="2"/>
  <c r="S65" i="2" s="1"/>
  <c r="T65" i="2" s="1"/>
  <c r="U65" i="2" s="1"/>
  <c r="R62" i="2"/>
  <c r="S62" i="2" s="1"/>
  <c r="T62" i="2" s="1"/>
  <c r="U62" i="2" s="1"/>
  <c r="R454" i="2"/>
  <c r="S454" i="2" s="1"/>
  <c r="T454" i="2" s="1"/>
  <c r="U454" i="2" s="1"/>
  <c r="R187" i="2"/>
  <c r="S187" i="2" s="1"/>
  <c r="T187" i="2" s="1"/>
  <c r="U187" i="2" s="1"/>
  <c r="R469" i="2"/>
  <c r="S469" i="2" s="1"/>
  <c r="R153" i="2"/>
  <c r="R458" i="2"/>
  <c r="R360" i="2"/>
  <c r="S360" i="2" s="1"/>
  <c r="T360" i="2" s="1"/>
  <c r="U360" i="2" s="1"/>
  <c r="R184" i="2"/>
  <c r="S184" i="2" s="1"/>
  <c r="T184" i="2" s="1"/>
  <c r="U184" i="2" s="1"/>
  <c r="R113" i="2"/>
  <c r="S113" i="2" s="1"/>
  <c r="R120" i="2"/>
  <c r="R223" i="2"/>
  <c r="S223" i="2" s="1"/>
  <c r="R407" i="2"/>
  <c r="R284" i="2"/>
  <c r="S284" i="2" s="1"/>
  <c r="R371" i="2"/>
  <c r="S371" i="2" s="1"/>
  <c r="T371" i="2" s="1"/>
  <c r="U371" i="2" s="1"/>
  <c r="R390" i="2"/>
  <c r="S390" i="2" s="1"/>
  <c r="R41" i="2"/>
  <c r="S41" i="2" s="1"/>
  <c r="T41" i="2" s="1"/>
  <c r="U41" i="2" s="1"/>
  <c r="P222" i="2"/>
  <c r="Q222" i="2" s="1"/>
  <c r="L222" i="2"/>
  <c r="M222" i="2" s="1"/>
  <c r="S119" i="2"/>
  <c r="T119" i="2" s="1"/>
  <c r="U119" i="2" s="1"/>
  <c r="M174" i="2"/>
  <c r="R174" i="2" s="1"/>
  <c r="R195" i="2"/>
  <c r="S195" i="2" s="1"/>
  <c r="T195" i="2" s="1"/>
  <c r="U195" i="2" s="1"/>
  <c r="R43" i="2"/>
  <c r="S43" i="2" s="1"/>
  <c r="R214" i="2"/>
  <c r="S214" i="2" s="1"/>
  <c r="P472" i="2"/>
  <c r="Q472" i="2" s="1"/>
  <c r="R472" i="2" s="1"/>
  <c r="R350" i="2" s="1"/>
  <c r="M377" i="2"/>
  <c r="R377" i="2" s="1"/>
  <c r="S377" i="2" s="1"/>
  <c r="T377" i="2" s="1"/>
  <c r="U377" i="2" s="1"/>
  <c r="R432" i="2"/>
  <c r="S432" i="2" s="1"/>
  <c r="T432" i="2" s="1"/>
  <c r="U432" i="2" s="1"/>
  <c r="R202" i="2"/>
  <c r="R199" i="2"/>
  <c r="R132" i="2"/>
  <c r="R130" i="2"/>
  <c r="R346" i="2"/>
  <c r="S346" i="2" s="1"/>
  <c r="R134" i="2"/>
  <c r="S134" i="2" s="1"/>
  <c r="R72" i="2"/>
  <c r="S72" i="2" s="1"/>
  <c r="T72" i="2" s="1"/>
  <c r="U72" i="2" s="1"/>
  <c r="L154" i="2"/>
  <c r="M154" i="2" s="1"/>
  <c r="L173" i="2"/>
  <c r="M173" i="2" s="1"/>
  <c r="P173" i="2"/>
  <c r="Q173" i="2" s="1"/>
  <c r="L323" i="2"/>
  <c r="M323" i="2" s="1"/>
  <c r="R136" i="2"/>
  <c r="S136" i="2" s="1"/>
  <c r="P175" i="2"/>
  <c r="Q175" i="2" s="1"/>
  <c r="R175" i="2" s="1"/>
  <c r="R437" i="2"/>
  <c r="S437" i="2" s="1"/>
  <c r="T437" i="2" s="1"/>
  <c r="U437" i="2" s="1"/>
  <c r="R69" i="2"/>
  <c r="S69" i="2" s="1"/>
  <c r="T69" i="2" s="1"/>
  <c r="U69" i="2" s="1"/>
  <c r="R455" i="2"/>
  <c r="S455" i="2" s="1"/>
  <c r="L44" i="8"/>
  <c r="M44" i="8" s="1"/>
  <c r="Q190" i="2"/>
  <c r="R190" i="2"/>
  <c r="Q189" i="2"/>
  <c r="R189" i="2" s="1"/>
  <c r="P257" i="2"/>
  <c r="Q257" i="2" s="1"/>
  <c r="R257" i="2" s="1"/>
  <c r="S443" i="2"/>
  <c r="T443" i="2" s="1"/>
  <c r="U443" i="2" s="1"/>
  <c r="L480" i="2"/>
  <c r="M480" i="2" s="1"/>
  <c r="P288" i="2"/>
  <c r="R204" i="2"/>
  <c r="S204" i="2" s="1"/>
  <c r="R140" i="2"/>
  <c r="S140" i="2" s="1"/>
  <c r="T140" i="2" s="1"/>
  <c r="U140" i="2" s="1"/>
  <c r="P294" i="2"/>
  <c r="Q294" i="2" s="1"/>
  <c r="R294" i="2" s="1"/>
  <c r="R186" i="2"/>
  <c r="R349" i="2"/>
  <c r="S349" i="2" s="1"/>
  <c r="R201" i="2"/>
  <c r="S201" i="2" s="1"/>
  <c r="R48" i="2"/>
  <c r="S48" i="2" s="1"/>
  <c r="T48" i="2" s="1"/>
  <c r="U48" i="2" s="1"/>
  <c r="P296" i="2"/>
  <c r="Q296" i="2" s="1"/>
  <c r="R296" i="2" s="1"/>
  <c r="R73" i="2"/>
  <c r="R74" i="2"/>
  <c r="S74" i="2" s="1"/>
  <c r="R64" i="2"/>
  <c r="S64" i="2" s="1"/>
  <c r="R131" i="2"/>
  <c r="S131" i="2" s="1"/>
  <c r="T131" i="2" s="1"/>
  <c r="U131" i="2" s="1"/>
  <c r="R70" i="2"/>
  <c r="R193" i="2"/>
  <c r="S193" i="2" s="1"/>
  <c r="T193" i="2" s="1"/>
  <c r="U193" i="2" s="1"/>
  <c r="P403" i="2"/>
  <c r="Q403" i="2" s="1"/>
  <c r="S273" i="2"/>
  <c r="T273" i="2" s="1"/>
  <c r="U273" i="2" s="1"/>
  <c r="R245" i="2"/>
  <c r="S245" i="2" s="1"/>
  <c r="T245" i="2" s="1"/>
  <c r="U245" i="2" s="1"/>
  <c r="R68" i="2"/>
  <c r="S68" i="2" s="1"/>
  <c r="T68" i="2" s="1"/>
  <c r="U68" i="2" s="1"/>
  <c r="R138" i="2"/>
  <c r="S138" i="2" s="1"/>
  <c r="T138" i="2" s="1"/>
  <c r="U138" i="2" s="1"/>
  <c r="R237" i="2"/>
  <c r="S237" i="2" s="1"/>
  <c r="Q40" i="2"/>
  <c r="R40" i="2" s="1"/>
  <c r="S40" i="2" s="1"/>
  <c r="R42" i="2"/>
  <c r="S42" i="2" s="1"/>
  <c r="T42" i="2" s="1"/>
  <c r="U42" i="2" s="1"/>
  <c r="R49" i="2"/>
  <c r="S49" i="2" s="1"/>
  <c r="T49" i="2" s="1"/>
  <c r="U49" i="2" s="1"/>
  <c r="R52" i="2"/>
  <c r="S52" i="2" s="1"/>
  <c r="S299" i="2"/>
  <c r="T299" i="2" s="1"/>
  <c r="U299" i="2" s="1"/>
  <c r="Q273" i="2"/>
  <c r="L431" i="2"/>
  <c r="M431" i="2" s="1"/>
  <c r="S265" i="2"/>
  <c r="T265" i="2" s="1"/>
  <c r="U265" i="2" s="1"/>
  <c r="R434" i="2"/>
  <c r="S434" i="2" s="1"/>
  <c r="T434" i="2" s="1"/>
  <c r="U434" i="2" s="1"/>
  <c r="R450" i="2"/>
  <c r="S450" i="2" s="1"/>
  <c r="T450" i="2" s="1"/>
  <c r="U450" i="2" s="1"/>
  <c r="S256" i="2"/>
  <c r="T256" i="2" s="1"/>
  <c r="U256" i="2" s="1"/>
  <c r="P470" i="2"/>
  <c r="Q470" i="2" s="1"/>
  <c r="R470" i="2" s="1"/>
  <c r="R206" i="2" s="1"/>
  <c r="T139" i="2"/>
  <c r="U139" i="2" s="1"/>
  <c r="T57" i="2"/>
  <c r="U57" i="2" s="1"/>
  <c r="R133" i="2"/>
  <c r="S133" i="2" s="1"/>
  <c r="T133" i="2" s="1"/>
  <c r="U133" i="2" s="1"/>
  <c r="S16" i="2"/>
  <c r="T247" i="2"/>
  <c r="U247" i="2" s="1"/>
  <c r="O326" i="2"/>
  <c r="P326" i="2" s="1"/>
  <c r="Q326" i="2" s="1"/>
  <c r="R326" i="2" s="1"/>
  <c r="S402" i="2"/>
  <c r="T402" i="2" s="1"/>
  <c r="U402" i="2" s="1"/>
  <c r="T191" i="2"/>
  <c r="U191" i="2" s="1"/>
  <c r="S322" i="2"/>
  <c r="T322" i="2" s="1"/>
  <c r="U322" i="2" s="1"/>
  <c r="S401" i="2"/>
  <c r="T401" i="2" s="1"/>
  <c r="U401" i="2" s="1"/>
  <c r="T183" i="2"/>
  <c r="U183" i="2" s="1"/>
  <c r="T188" i="2"/>
  <c r="U188" i="2" s="1"/>
  <c r="R442" i="2"/>
  <c r="S442" i="2" s="1"/>
  <c r="T442" i="2" s="1"/>
  <c r="U442" i="2" s="1"/>
  <c r="T67" i="2"/>
  <c r="U67" i="2" s="1"/>
  <c r="T441" i="2"/>
  <c r="U441" i="2" s="1"/>
  <c r="T493" i="2"/>
  <c r="U493" i="2" s="1"/>
  <c r="L22" i="2"/>
  <c r="M22" i="2" s="1"/>
  <c r="P22" i="2"/>
  <c r="Q22" i="2" s="1"/>
  <c r="L33" i="2"/>
  <c r="M33" i="2" s="1"/>
  <c r="S319" i="2"/>
  <c r="T319" i="2" s="1"/>
  <c r="U319" i="2" s="1"/>
  <c r="P220" i="2"/>
  <c r="Q220" i="2" s="1"/>
  <c r="S32" i="2"/>
  <c r="T32" i="2" s="1"/>
  <c r="U32" i="2" s="1"/>
  <c r="S376" i="2"/>
  <c r="T376" i="2" s="1"/>
  <c r="U376" i="2" s="1"/>
  <c r="R345" i="2" l="1"/>
  <c r="S345" i="2" s="1"/>
  <c r="T345" i="2" s="1"/>
  <c r="U345" i="2" s="1"/>
  <c r="S111" i="2"/>
  <c r="O111" i="2"/>
  <c r="R123" i="2"/>
  <c r="T16" i="2"/>
  <c r="U16" i="2"/>
  <c r="R147" i="2"/>
  <c r="S147" i="2" s="1"/>
  <c r="T147" i="2" s="1"/>
  <c r="U147" i="2" s="1"/>
  <c r="R95" i="2"/>
  <c r="S95" i="2" s="1"/>
  <c r="T95" i="2" s="1"/>
  <c r="U95" i="2" s="1"/>
  <c r="R94" i="2"/>
  <c r="S94" i="2" s="1"/>
  <c r="T94" i="2" s="1"/>
  <c r="U94" i="2" s="1"/>
  <c r="S14" i="2"/>
  <c r="P14" i="2"/>
  <c r="O15" i="2"/>
  <c r="P15" i="2" s="1"/>
  <c r="Q15" i="2" s="1"/>
  <c r="O101" i="2"/>
  <c r="P101" i="2" s="1"/>
  <c r="R106" i="2"/>
  <c r="R108" i="2" s="1"/>
  <c r="R90" i="2"/>
  <c r="S90" i="2" s="1"/>
  <c r="T90" i="2" s="1"/>
  <c r="U90" i="2" s="1"/>
  <c r="R144" i="2"/>
  <c r="S144" i="2" s="1"/>
  <c r="T144" i="2" s="1"/>
  <c r="U144" i="2" s="1"/>
  <c r="R91" i="2"/>
  <c r="S91" i="2" s="1"/>
  <c r="T91" i="2" s="1"/>
  <c r="U91" i="2" s="1"/>
  <c r="R86" i="2"/>
  <c r="S86" i="2" s="1"/>
  <c r="T86" i="2" s="1"/>
  <c r="U86" i="2" s="1"/>
  <c r="R145" i="2"/>
  <c r="R88" i="2"/>
  <c r="S88" i="2" s="1"/>
  <c r="T88" i="2" s="1"/>
  <c r="U88" i="2" s="1"/>
  <c r="R143" i="2"/>
  <c r="R146" i="2"/>
  <c r="S146" i="2" s="1"/>
  <c r="T146" i="2" s="1"/>
  <c r="U146" i="2" s="1"/>
  <c r="R92" i="2"/>
  <c r="R93" i="2"/>
  <c r="R85" i="2"/>
  <c r="R89" i="2"/>
  <c r="R87" i="2"/>
  <c r="S87" i="2" s="1"/>
  <c r="T87" i="2" s="1"/>
  <c r="U87" i="2" s="1"/>
  <c r="S37" i="2"/>
  <c r="T37" i="2" s="1"/>
  <c r="U37" i="2" s="1"/>
  <c r="T61" i="2"/>
  <c r="U61" i="2" s="1"/>
  <c r="P417" i="2"/>
  <c r="Q417" i="2" s="1"/>
  <c r="R417" i="2" s="1"/>
  <c r="P29" i="2"/>
  <c r="Q29" i="2" s="1"/>
  <c r="T213" i="2"/>
  <c r="U213" i="2" s="1"/>
  <c r="M379" i="2"/>
  <c r="R379" i="2" s="1"/>
  <c r="S379" i="2" s="1"/>
  <c r="P462" i="2"/>
  <c r="P163" i="2"/>
  <c r="Q163" i="2" s="1"/>
  <c r="R163" i="2" s="1"/>
  <c r="S163" i="2" s="1"/>
  <c r="M467" i="2"/>
  <c r="R467" i="2" s="1"/>
  <c r="M166" i="2"/>
  <c r="R166" i="2" s="1"/>
  <c r="S166" i="2" s="1"/>
  <c r="T166" i="2" s="1"/>
  <c r="U166" i="2" s="1"/>
  <c r="K171" i="2"/>
  <c r="L171" i="2" s="1"/>
  <c r="M171" i="2" s="1"/>
  <c r="M461" i="2"/>
  <c r="R461" i="2" s="1"/>
  <c r="S227" i="2"/>
  <c r="T227" i="2" s="1"/>
  <c r="U227" i="2" s="1"/>
  <c r="R323" i="2"/>
  <c r="S323" i="2" s="1"/>
  <c r="T323" i="2" s="1"/>
  <c r="U323" i="2" s="1"/>
  <c r="N369" i="2"/>
  <c r="O369" i="2" s="1"/>
  <c r="P369" i="2" s="1"/>
  <c r="Q369" i="2" s="1"/>
  <c r="R369" i="2" s="1"/>
  <c r="N466" i="2"/>
  <c r="O466" i="2" s="1"/>
  <c r="T192" i="2"/>
  <c r="U192" i="2" s="1"/>
  <c r="N165" i="2"/>
  <c r="O165" i="2" s="1"/>
  <c r="P165" i="2" s="1"/>
  <c r="Q165" i="2" s="1"/>
  <c r="R165" i="2" s="1"/>
  <c r="S165" i="2" s="1"/>
  <c r="T165" i="2" s="1"/>
  <c r="U165" i="2" s="1"/>
  <c r="T475" i="2"/>
  <c r="U475" i="2" s="1"/>
  <c r="R403" i="2"/>
  <c r="O408" i="2"/>
  <c r="P408" i="2" s="1"/>
  <c r="Q408" i="2" s="1"/>
  <c r="R400" i="2"/>
  <c r="S400" i="2" s="1"/>
  <c r="T400" i="2" s="1"/>
  <c r="U400" i="2" s="1"/>
  <c r="S328" i="2"/>
  <c r="T328" i="2" s="1"/>
  <c r="U328" i="2" s="1"/>
  <c r="L394" i="2"/>
  <c r="M394" i="2" s="1"/>
  <c r="P394" i="2"/>
  <c r="Q394" i="2" s="1"/>
  <c r="S306" i="2"/>
  <c r="T306" i="2" s="1"/>
  <c r="U306" i="2" s="1"/>
  <c r="O395" i="2"/>
  <c r="P395" i="2" s="1"/>
  <c r="Q395" i="2" s="1"/>
  <c r="S121" i="2"/>
  <c r="T282" i="2"/>
  <c r="U282" i="2" s="1"/>
  <c r="S189" i="2"/>
  <c r="T189" i="2" s="1"/>
  <c r="U189" i="2" s="1"/>
  <c r="T445" i="2"/>
  <c r="U445" i="2" s="1"/>
  <c r="P341" i="2"/>
  <c r="Q341" i="2" s="1"/>
  <c r="R341" i="2" s="1"/>
  <c r="S341" i="2" s="1"/>
  <c r="T341" i="2" s="1"/>
  <c r="U341" i="2" s="1"/>
  <c r="K384" i="2"/>
  <c r="K392" i="2"/>
  <c r="L392" i="2" s="1"/>
  <c r="M392" i="2" s="1"/>
  <c r="N337" i="2"/>
  <c r="O337" i="2" s="1"/>
  <c r="P337" i="2" s="1"/>
  <c r="Q337" i="2" s="1"/>
  <c r="R337" i="2" s="1"/>
  <c r="P235" i="2"/>
  <c r="Q235" i="2" s="1"/>
  <c r="R235" i="2" s="1"/>
  <c r="R167" i="2"/>
  <c r="S167" i="2" s="1"/>
  <c r="M301" i="2"/>
  <c r="R301" i="2" s="1"/>
  <c r="T51" i="2"/>
  <c r="U51" i="2" s="1"/>
  <c r="P389" i="2"/>
  <c r="Q389" i="2" s="1"/>
  <c r="R389" i="2" s="1"/>
  <c r="M168" i="2"/>
  <c r="R168" i="2" s="1"/>
  <c r="S374" i="2"/>
  <c r="T374" i="2" s="1"/>
  <c r="U374" i="2" s="1"/>
  <c r="M19" i="2"/>
  <c r="R19" i="2" s="1"/>
  <c r="S19" i="2" s="1"/>
  <c r="T19" i="2" s="1"/>
  <c r="U19" i="2" s="1"/>
  <c r="T338" i="2"/>
  <c r="U338" i="2" s="1"/>
  <c r="M24" i="2"/>
  <c r="R24" i="2" s="1"/>
  <c r="R474" i="2"/>
  <c r="S474" i="2" s="1"/>
  <c r="T474" i="2" s="1"/>
  <c r="U474" i="2" s="1"/>
  <c r="L490" i="2"/>
  <c r="M490" i="2" s="1"/>
  <c r="P490" i="2"/>
  <c r="Q490" i="2" s="1"/>
  <c r="L310" i="2"/>
  <c r="M310" i="2" s="1"/>
  <c r="P310" i="2"/>
  <c r="Q310" i="2" s="1"/>
  <c r="S297" i="2"/>
  <c r="T297" i="2" s="1"/>
  <c r="U297" i="2" s="1"/>
  <c r="P380" i="2"/>
  <c r="Q380" i="2" s="1"/>
  <c r="L380" i="2"/>
  <c r="M380" i="2" s="1"/>
  <c r="T473" i="2"/>
  <c r="U473" i="2" s="1"/>
  <c r="N231" i="2"/>
  <c r="B20" i="12" s="1"/>
  <c r="S17" i="2"/>
  <c r="T17" i="2" s="1"/>
  <c r="U17" i="2" s="1"/>
  <c r="P314" i="2"/>
  <c r="Q314" i="2" s="1"/>
  <c r="R314" i="2" s="1"/>
  <c r="O288" i="2"/>
  <c r="D28" i="12" s="1"/>
  <c r="M489" i="2"/>
  <c r="R489" i="2" s="1"/>
  <c r="M479" i="2"/>
  <c r="R479" i="2" s="1"/>
  <c r="P161" i="2"/>
  <c r="Q161" i="2" s="1"/>
  <c r="R161" i="2" s="1"/>
  <c r="O325" i="2"/>
  <c r="P325" i="2" s="1"/>
  <c r="Q325" i="2" s="1"/>
  <c r="O162" i="2"/>
  <c r="P162" i="2" s="1"/>
  <c r="Q162" i="2" s="1"/>
  <c r="M336" i="2"/>
  <c r="R336" i="2" s="1"/>
  <c r="S336" i="2" s="1"/>
  <c r="T336" i="2" s="1"/>
  <c r="M325" i="2"/>
  <c r="R325" i="2" s="1"/>
  <c r="M164" i="2"/>
  <c r="R164" i="2" s="1"/>
  <c r="S164" i="2" s="1"/>
  <c r="T164" i="2" s="1"/>
  <c r="U164" i="2" s="1"/>
  <c r="O227" i="2"/>
  <c r="P227" i="2" s="1"/>
  <c r="Q227" i="2" s="1"/>
  <c r="P378" i="2"/>
  <c r="Q378" i="2" s="1"/>
  <c r="R378" i="2" s="1"/>
  <c r="S378" i="2" s="1"/>
  <c r="P476" i="2"/>
  <c r="Q476" i="2" s="1"/>
  <c r="P382" i="2"/>
  <c r="Q382" i="2" s="1"/>
  <c r="R382" i="2" s="1"/>
  <c r="R222" i="2"/>
  <c r="S222" i="2" s="1"/>
  <c r="P466" i="2"/>
  <c r="Q466" i="2" s="1"/>
  <c r="R466" i="2" s="1"/>
  <c r="P20" i="2"/>
  <c r="Q20" i="2" s="1"/>
  <c r="R20" i="2" s="1"/>
  <c r="P25" i="2"/>
  <c r="Q25" i="2" s="1"/>
  <c r="R25" i="2" s="1"/>
  <c r="S25" i="2" s="1"/>
  <c r="M160" i="2"/>
  <c r="R160" i="2" s="1"/>
  <c r="N159" i="2"/>
  <c r="O159" i="2" s="1"/>
  <c r="P159" i="2" s="1"/>
  <c r="Q159" i="2" s="1"/>
  <c r="R159" i="2" s="1"/>
  <c r="P321" i="2"/>
  <c r="Q321" i="2" s="1"/>
  <c r="R321" i="2" s="1"/>
  <c r="S321" i="2" s="1"/>
  <c r="T321" i="2" s="1"/>
  <c r="U321" i="2" s="1"/>
  <c r="M320" i="2"/>
  <c r="R320" i="2" s="1"/>
  <c r="S320" i="2" s="1"/>
  <c r="T320" i="2" s="1"/>
  <c r="U320" i="2" s="1"/>
  <c r="M465" i="2"/>
  <c r="R465" i="2" s="1"/>
  <c r="S465" i="2" s="1"/>
  <c r="M309" i="2"/>
  <c r="R309" i="2" s="1"/>
  <c r="O244" i="2"/>
  <c r="O249" i="2" s="1"/>
  <c r="D22" i="12" s="1"/>
  <c r="B10" i="12"/>
  <c r="P271" i="2"/>
  <c r="Q271" i="2" s="1"/>
  <c r="N18" i="2"/>
  <c r="O18" i="2" s="1"/>
  <c r="P18" i="2" s="1"/>
  <c r="O461" i="2"/>
  <c r="S361" i="2"/>
  <c r="T361" i="2" s="1"/>
  <c r="U361" i="2" s="1"/>
  <c r="L169" i="2"/>
  <c r="M169" i="2" s="1"/>
  <c r="R169" i="2" s="1"/>
  <c r="S169" i="2" s="1"/>
  <c r="T169" i="2" s="1"/>
  <c r="U169" i="2" s="1"/>
  <c r="M234" i="2"/>
  <c r="R234" i="2" s="1"/>
  <c r="M313" i="2"/>
  <c r="R313" i="2" s="1"/>
  <c r="S313" i="2" s="1"/>
  <c r="O305" i="2"/>
  <c r="P305" i="2" s="1"/>
  <c r="Q305" i="2" s="1"/>
  <c r="O212" i="2"/>
  <c r="N216" i="2"/>
  <c r="B18" i="12" s="1"/>
  <c r="O235" i="5"/>
  <c r="D39" i="12" s="1"/>
  <c r="Q235" i="5"/>
  <c r="P235" i="5"/>
  <c r="N235" i="5"/>
  <c r="B39" i="12" s="1"/>
  <c r="N398" i="5"/>
  <c r="B41" i="12" s="1"/>
  <c r="R1105" i="5"/>
  <c r="S1105" i="5" s="1"/>
  <c r="R1199" i="5"/>
  <c r="R206" i="5"/>
  <c r="S206" i="5" s="1"/>
  <c r="R543" i="5"/>
  <c r="R283" i="5"/>
  <c r="S283" i="5" s="1"/>
  <c r="T283" i="5" s="1"/>
  <c r="U283" i="5" s="1"/>
  <c r="R250" i="5"/>
  <c r="R614" i="5"/>
  <c r="S614" i="5" s="1"/>
  <c r="R1262" i="5"/>
  <c r="S1262" i="5" s="1"/>
  <c r="R1241" i="5"/>
  <c r="S1241" i="5" s="1"/>
  <c r="R532" i="5"/>
  <c r="R873" i="5"/>
  <c r="S873" i="5" s="1"/>
  <c r="R821" i="5"/>
  <c r="S821" i="5" s="1"/>
  <c r="R1134" i="5"/>
  <c r="R1011" i="5"/>
  <c r="S1011" i="5" s="1"/>
  <c r="T1011" i="5" s="1"/>
  <c r="U1011" i="5" s="1"/>
  <c r="R35" i="5"/>
  <c r="S35" i="5" s="1"/>
  <c r="R281" i="5"/>
  <c r="S281" i="5" s="1"/>
  <c r="R438" i="5"/>
  <c r="S438" i="5" s="1"/>
  <c r="T438" i="5" s="1"/>
  <c r="U438" i="5" s="1"/>
  <c r="R628" i="5"/>
  <c r="R940" i="5"/>
  <c r="S940" i="5" s="1"/>
  <c r="T940" i="5" s="1"/>
  <c r="U940" i="5" s="1"/>
  <c r="R559" i="5"/>
  <c r="R1211" i="5"/>
  <c r="S1211" i="5" s="1"/>
  <c r="R852" i="5"/>
  <c r="R271" i="5"/>
  <c r="S271" i="5" s="1"/>
  <c r="T271" i="5" s="1"/>
  <c r="U271" i="5" s="1"/>
  <c r="R451" i="5"/>
  <c r="S451" i="5" s="1"/>
  <c r="R556" i="5"/>
  <c r="S556" i="5" s="1"/>
  <c r="R70" i="5"/>
  <c r="S70" i="5" s="1"/>
  <c r="T70" i="5" s="1"/>
  <c r="U70" i="5" s="1"/>
  <c r="R688" i="5"/>
  <c r="S688" i="5" s="1"/>
  <c r="R341" i="5"/>
  <c r="S341" i="5" s="1"/>
  <c r="T341" i="5" s="1"/>
  <c r="U341" i="5" s="1"/>
  <c r="R815" i="5"/>
  <c r="S815" i="5" s="1"/>
  <c r="T815" i="5" s="1"/>
  <c r="U815" i="5" s="1"/>
  <c r="R805" i="5"/>
  <c r="S805" i="5" s="1"/>
  <c r="R276" i="5"/>
  <c r="R545" i="5"/>
  <c r="S545" i="5" s="1"/>
  <c r="T545" i="5" s="1"/>
  <c r="U545" i="5" s="1"/>
  <c r="R537" i="5"/>
  <c r="S537" i="5" s="1"/>
  <c r="R1196" i="5"/>
  <c r="S1196" i="5" s="1"/>
  <c r="R412" i="5"/>
  <c r="S412" i="5" s="1"/>
  <c r="R1124" i="5"/>
  <c r="S1124" i="5" s="1"/>
  <c r="R37" i="5"/>
  <c r="S37" i="5" s="1"/>
  <c r="R793" i="5"/>
  <c r="S793" i="5" s="1"/>
  <c r="T793" i="5" s="1"/>
  <c r="U793" i="5" s="1"/>
  <c r="R863" i="5"/>
  <c r="R791" i="5"/>
  <c r="S791" i="5" s="1"/>
  <c r="T791" i="5" s="1"/>
  <c r="U791" i="5" s="1"/>
  <c r="R827" i="5"/>
  <c r="S827" i="5" s="1"/>
  <c r="T827" i="5" s="1"/>
  <c r="U827" i="5" s="1"/>
  <c r="R841" i="5"/>
  <c r="S841" i="5" s="1"/>
  <c r="T841" i="5" s="1"/>
  <c r="U841" i="5" s="1"/>
  <c r="R854" i="5"/>
  <c r="S854" i="5" s="1"/>
  <c r="T854" i="5" s="1"/>
  <c r="U854" i="5" s="1"/>
  <c r="R580" i="5"/>
  <c r="S580" i="5" s="1"/>
  <c r="R956" i="5"/>
  <c r="R694" i="5"/>
  <c r="S694" i="5" s="1"/>
  <c r="R528" i="5"/>
  <c r="S528" i="5" s="1"/>
  <c r="R923" i="5"/>
  <c r="R336" i="5"/>
  <c r="S336" i="5" s="1"/>
  <c r="R850" i="5"/>
  <c r="S850" i="5" s="1"/>
  <c r="T850" i="5" s="1"/>
  <c r="U850" i="5" s="1"/>
  <c r="R115" i="5"/>
  <c r="S115" i="5" s="1"/>
  <c r="R842" i="5"/>
  <c r="S842" i="5" s="1"/>
  <c r="T842" i="5" s="1"/>
  <c r="U842" i="5" s="1"/>
  <c r="R651" i="5"/>
  <c r="S651" i="5" s="1"/>
  <c r="R86" i="5"/>
  <c r="S86" i="5" s="1"/>
  <c r="R381" i="5"/>
  <c r="S381" i="5" s="1"/>
  <c r="T381" i="5" s="1"/>
  <c r="U381" i="5" s="1"/>
  <c r="R413" i="5"/>
  <c r="S413" i="5" s="1"/>
  <c r="T413" i="5" s="1"/>
  <c r="U413" i="5" s="1"/>
  <c r="R1051" i="5"/>
  <c r="S1051" i="5" s="1"/>
  <c r="T1051" i="5" s="1"/>
  <c r="U1051" i="5" s="1"/>
  <c r="R1088" i="5"/>
  <c r="S1088" i="5" s="1"/>
  <c r="R1155" i="5"/>
  <c r="S1155" i="5" s="1"/>
  <c r="T1155" i="5" s="1"/>
  <c r="U1155" i="5" s="1"/>
  <c r="R902" i="5"/>
  <c r="S902" i="5" s="1"/>
  <c r="T902" i="5" s="1"/>
  <c r="U902" i="5" s="1"/>
  <c r="R153" i="5"/>
  <c r="R649" i="5"/>
  <c r="R308" i="5"/>
  <c r="S308" i="5" s="1"/>
  <c r="R861" i="5"/>
  <c r="S861" i="5" s="1"/>
  <c r="T861" i="5" s="1"/>
  <c r="U861" i="5" s="1"/>
  <c r="R117" i="5"/>
  <c r="S117" i="5" s="1"/>
  <c r="R540" i="5"/>
  <c r="S540" i="5" s="1"/>
  <c r="T540" i="5" s="1"/>
  <c r="U540" i="5" s="1"/>
  <c r="R53" i="5"/>
  <c r="S53" i="5" s="1"/>
  <c r="T53" i="5" s="1"/>
  <c r="U53" i="5" s="1"/>
  <c r="R891" i="5"/>
  <c r="R830" i="5"/>
  <c r="S830" i="5" s="1"/>
  <c r="T830" i="5" s="1"/>
  <c r="U830" i="5" s="1"/>
  <c r="R113" i="5"/>
  <c r="S113" i="5" s="1"/>
  <c r="R441" i="5"/>
  <c r="R919" i="5"/>
  <c r="S919" i="5" s="1"/>
  <c r="T919" i="5" s="1"/>
  <c r="U919" i="5" s="1"/>
  <c r="R458" i="5"/>
  <c r="S458" i="5" s="1"/>
  <c r="T458" i="5" s="1"/>
  <c r="U458" i="5" s="1"/>
  <c r="R179" i="5"/>
  <c r="R419" i="5"/>
  <c r="S419" i="5" s="1"/>
  <c r="R45" i="5"/>
  <c r="R1209" i="5"/>
  <c r="R598" i="5"/>
  <c r="S598" i="5" s="1"/>
  <c r="R156" i="5"/>
  <c r="R136" i="5"/>
  <c r="S136" i="5" s="1"/>
  <c r="T136" i="5" s="1"/>
  <c r="U136" i="5" s="1"/>
  <c r="R998" i="5"/>
  <c r="S998" i="5" s="1"/>
  <c r="R808" i="5"/>
  <c r="S808" i="5" s="1"/>
  <c r="T808" i="5" s="1"/>
  <c r="U808" i="5" s="1"/>
  <c r="R361" i="5"/>
  <c r="S361" i="5" s="1"/>
  <c r="R1058" i="5"/>
  <c r="S1058" i="5" s="1"/>
  <c r="T1058" i="5" s="1"/>
  <c r="U1058" i="5" s="1"/>
  <c r="R995" i="5"/>
  <c r="S995" i="5" s="1"/>
  <c r="T995" i="5" s="1"/>
  <c r="U995" i="5" s="1"/>
  <c r="R616" i="5"/>
  <c r="S616" i="5" s="1"/>
  <c r="R607" i="5"/>
  <c r="R1226" i="5"/>
  <c r="S1226" i="5" s="1"/>
  <c r="T1226" i="5" s="1"/>
  <c r="U1226" i="5" s="1"/>
  <c r="R1224" i="5"/>
  <c r="R1220" i="5"/>
  <c r="R1214" i="5"/>
  <c r="S1214" i="5" s="1"/>
  <c r="R1212" i="5"/>
  <c r="S1212" i="5" s="1"/>
  <c r="T1212" i="5" s="1"/>
  <c r="U1212" i="5" s="1"/>
  <c r="R1184" i="5"/>
  <c r="R1182" i="5"/>
  <c r="R1178" i="5"/>
  <c r="S1178" i="5" s="1"/>
  <c r="R340" i="5"/>
  <c r="S340" i="5" s="1"/>
  <c r="T340" i="5" s="1"/>
  <c r="U340" i="5" s="1"/>
  <c r="R337" i="5"/>
  <c r="S337" i="5" s="1"/>
  <c r="R323" i="5"/>
  <c r="S323" i="5" s="1"/>
  <c r="R294" i="5"/>
  <c r="R284" i="5"/>
  <c r="S284" i="5" s="1"/>
  <c r="T284" i="5" s="1"/>
  <c r="U284" i="5" s="1"/>
  <c r="R1108" i="5"/>
  <c r="S1108" i="5" s="1"/>
  <c r="T1108" i="5" s="1"/>
  <c r="U1108" i="5" s="1"/>
  <c r="R247" i="5"/>
  <c r="S247" i="5" s="1"/>
  <c r="R1046" i="5"/>
  <c r="R244" i="5"/>
  <c r="R1000" i="5"/>
  <c r="R239" i="5"/>
  <c r="S239" i="5" s="1"/>
  <c r="T239" i="5" s="1"/>
  <c r="U239" i="5" s="1"/>
  <c r="R987" i="5"/>
  <c r="S987" i="5" s="1"/>
  <c r="T987" i="5" s="1"/>
  <c r="U987" i="5" s="1"/>
  <c r="R985" i="5"/>
  <c r="S985" i="5" s="1"/>
  <c r="T985" i="5" s="1"/>
  <c r="U985" i="5" s="1"/>
  <c r="R983" i="5"/>
  <c r="S983" i="5" s="1"/>
  <c r="T983" i="5" s="1"/>
  <c r="U983" i="5" s="1"/>
  <c r="R1247" i="5"/>
  <c r="S1247" i="5" s="1"/>
  <c r="R201" i="5"/>
  <c r="S201" i="5" s="1"/>
  <c r="T201" i="5" s="1"/>
  <c r="U201" i="5" s="1"/>
  <c r="R1183" i="5"/>
  <c r="R339" i="5"/>
  <c r="R319" i="5"/>
  <c r="S319" i="5" s="1"/>
  <c r="R1222" i="5"/>
  <c r="S1222" i="5" s="1"/>
  <c r="R551" i="5"/>
  <c r="R335" i="5"/>
  <c r="S335" i="5" s="1"/>
  <c r="T335" i="5" s="1"/>
  <c r="U335" i="5" s="1"/>
  <c r="R69" i="5"/>
  <c r="S69" i="5" s="1"/>
  <c r="R36" i="5"/>
  <c r="S36" i="5" s="1"/>
  <c r="R737" i="5"/>
  <c r="R690" i="5"/>
  <c r="S690" i="5" s="1"/>
  <c r="T690" i="5" s="1"/>
  <c r="U690" i="5" s="1"/>
  <c r="R621" i="5"/>
  <c r="S621" i="5" s="1"/>
  <c r="R1131" i="5"/>
  <c r="R629" i="5"/>
  <c r="R436" i="5"/>
  <c r="S436" i="5" s="1"/>
  <c r="R507" i="5"/>
  <c r="S507" i="5" s="1"/>
  <c r="R229" i="5"/>
  <c r="S229" i="5" s="1"/>
  <c r="R417" i="5"/>
  <c r="S417" i="5" s="1"/>
  <c r="T417" i="5" s="1"/>
  <c r="U417" i="5" s="1"/>
  <c r="R924" i="5"/>
  <c r="R1261" i="5"/>
  <c r="R859" i="5"/>
  <c r="S859" i="5" s="1"/>
  <c r="R200" i="5"/>
  <c r="R832" i="5"/>
  <c r="S832" i="5" s="1"/>
  <c r="R599" i="5"/>
  <c r="S599" i="5" s="1"/>
  <c r="R1258" i="5"/>
  <c r="S1258" i="5" s="1"/>
  <c r="R944" i="5"/>
  <c r="S944" i="5" s="1"/>
  <c r="T944" i="5" s="1"/>
  <c r="U944" i="5" s="1"/>
  <c r="R1177" i="5"/>
  <c r="S1177" i="5" s="1"/>
  <c r="R333" i="5"/>
  <c r="S333" i="5" s="1"/>
  <c r="R303" i="5"/>
  <c r="S303" i="5" s="1"/>
  <c r="T303" i="5" s="1"/>
  <c r="U303" i="5" s="1"/>
  <c r="R1181" i="5"/>
  <c r="R1240" i="5"/>
  <c r="R317" i="5"/>
  <c r="S317" i="5" s="1"/>
  <c r="T317" i="5" s="1"/>
  <c r="U317" i="5" s="1"/>
  <c r="R612" i="5"/>
  <c r="S612" i="5" s="1"/>
  <c r="T612" i="5" s="1"/>
  <c r="U612" i="5" s="1"/>
  <c r="R539" i="5"/>
  <c r="S539" i="5" s="1"/>
  <c r="R584" i="5"/>
  <c r="S584" i="5" s="1"/>
  <c r="T584" i="5" s="1"/>
  <c r="U584" i="5" s="1"/>
  <c r="R706" i="5"/>
  <c r="S706" i="5" s="1"/>
  <c r="R1208" i="5"/>
  <c r="R1041" i="5"/>
  <c r="S1041" i="5" s="1"/>
  <c r="T1041" i="5" s="1"/>
  <c r="U1041" i="5" s="1"/>
  <c r="R447" i="5"/>
  <c r="R656" i="5"/>
  <c r="R121" i="5"/>
  <c r="R348" i="5"/>
  <c r="S348" i="5" s="1"/>
  <c r="T348" i="5" s="1"/>
  <c r="U348" i="5" s="1"/>
  <c r="R1128" i="5"/>
  <c r="S1128" i="5" s="1"/>
  <c r="R444" i="5"/>
  <c r="R1062" i="5"/>
  <c r="S1062" i="5" s="1"/>
  <c r="T1062" i="5" s="1"/>
  <c r="U1062" i="5" s="1"/>
  <c r="R864" i="5"/>
  <c r="S864" i="5" s="1"/>
  <c r="R269" i="5"/>
  <c r="S269" i="5" s="1"/>
  <c r="R454" i="5"/>
  <c r="S454" i="5" s="1"/>
  <c r="T454" i="5" s="1"/>
  <c r="U454" i="5" s="1"/>
  <c r="O723" i="5"/>
  <c r="D53" i="12" s="1"/>
  <c r="C53" i="12" s="1"/>
  <c r="R542" i="5"/>
  <c r="S542" i="5" s="1"/>
  <c r="T542" i="5" s="1"/>
  <c r="U542" i="5" s="1"/>
  <c r="R838" i="5"/>
  <c r="S838" i="5" s="1"/>
  <c r="T838" i="5" s="1"/>
  <c r="U838" i="5" s="1"/>
  <c r="R1130" i="5"/>
  <c r="S1130" i="5" s="1"/>
  <c r="T1130" i="5" s="1"/>
  <c r="U1130" i="5" s="1"/>
  <c r="R1244" i="5"/>
  <c r="S1244" i="5" s="1"/>
  <c r="R951" i="5"/>
  <c r="S951" i="5" s="1"/>
  <c r="T951" i="5" s="1"/>
  <c r="U951" i="5" s="1"/>
  <c r="R620" i="5"/>
  <c r="S620" i="5" s="1"/>
  <c r="T620" i="5" s="1"/>
  <c r="U620" i="5" s="1"/>
  <c r="R1126" i="5"/>
  <c r="S1126" i="5" s="1"/>
  <c r="T1126" i="5" s="1"/>
  <c r="U1126" i="5" s="1"/>
  <c r="R845" i="5"/>
  <c r="R979" i="5"/>
  <c r="S979" i="5" s="1"/>
  <c r="T979" i="5" s="1"/>
  <c r="U979" i="5" s="1"/>
  <c r="R1243" i="5"/>
  <c r="S1243" i="5" s="1"/>
  <c r="R824" i="5"/>
  <c r="S824" i="5" s="1"/>
  <c r="T824" i="5" s="1"/>
  <c r="U824" i="5" s="1"/>
  <c r="R443" i="5"/>
  <c r="R946" i="5"/>
  <c r="R608" i="5"/>
  <c r="S608" i="5" s="1"/>
  <c r="T608" i="5" s="1"/>
  <c r="U608" i="5" s="1"/>
  <c r="R502" i="5"/>
  <c r="R636" i="5"/>
  <c r="S636" i="5" s="1"/>
  <c r="T636" i="5" s="1"/>
  <c r="U636" i="5" s="1"/>
  <c r="R459" i="5"/>
  <c r="S459" i="5" s="1"/>
  <c r="T459" i="5" s="1"/>
  <c r="U459" i="5" s="1"/>
  <c r="R487" i="5"/>
  <c r="R1141" i="5"/>
  <c r="S1141" i="5" s="1"/>
  <c r="T1141" i="5" s="1"/>
  <c r="U1141" i="5" s="1"/>
  <c r="R23" i="5"/>
  <c r="S23" i="5" s="1"/>
  <c r="T23" i="5" s="1"/>
  <c r="U23" i="5" s="1"/>
  <c r="R911" i="5"/>
  <c r="S911" i="5" s="1"/>
  <c r="R39" i="5"/>
  <c r="S39" i="5" s="1"/>
  <c r="R639" i="5"/>
  <c r="S639" i="5" s="1"/>
  <c r="T639" i="5" s="1"/>
  <c r="U639" i="5" s="1"/>
  <c r="R139" i="5"/>
  <c r="R76" i="5"/>
  <c r="S76" i="5" s="1"/>
  <c r="T76" i="5" s="1"/>
  <c r="U76" i="5" s="1"/>
  <c r="R665" i="5"/>
  <c r="R148" i="5"/>
  <c r="S148" i="5" s="1"/>
  <c r="T148" i="5" s="1"/>
  <c r="U148" i="5" s="1"/>
  <c r="R1139" i="5"/>
  <c r="S1139" i="5" s="1"/>
  <c r="R617" i="5"/>
  <c r="R240" i="5"/>
  <c r="S240" i="5" s="1"/>
  <c r="R1097" i="5"/>
  <c r="S1097" i="5" s="1"/>
  <c r="R24" i="5"/>
  <c r="R970" i="5"/>
  <c r="R806" i="5"/>
  <c r="S806" i="5" s="1"/>
  <c r="T806" i="5" s="1"/>
  <c r="U806" i="5" s="1"/>
  <c r="R289" i="5"/>
  <c r="S289" i="5" s="1"/>
  <c r="R855" i="5"/>
  <c r="S855" i="5" s="1"/>
  <c r="R273" i="5"/>
  <c r="S273" i="5" s="1"/>
  <c r="T273" i="5" s="1"/>
  <c r="U273" i="5" s="1"/>
  <c r="R509" i="5"/>
  <c r="S509" i="5" s="1"/>
  <c r="T509" i="5" s="1"/>
  <c r="U509" i="5" s="1"/>
  <c r="R1207" i="5"/>
  <c r="R554" i="5"/>
  <c r="S554" i="5" s="1"/>
  <c r="T554" i="5" s="1"/>
  <c r="U554" i="5" s="1"/>
  <c r="R546" i="5"/>
  <c r="R445" i="5"/>
  <c r="R1195" i="5"/>
  <c r="S1195" i="5" s="1"/>
  <c r="R1194" i="5"/>
  <c r="S1194" i="5" s="1"/>
  <c r="R424" i="5"/>
  <c r="R416" i="5"/>
  <c r="S416" i="5" s="1"/>
  <c r="R401" i="5"/>
  <c r="R411" i="5"/>
  <c r="S411" i="5" s="1"/>
  <c r="T411" i="5" s="1"/>
  <c r="U411" i="5" s="1"/>
  <c r="R409" i="5"/>
  <c r="S409" i="5" s="1"/>
  <c r="R407" i="5"/>
  <c r="R404" i="5"/>
  <c r="S404" i="5" s="1"/>
  <c r="T404" i="5" s="1"/>
  <c r="U404" i="5" s="1"/>
  <c r="R402" i="5"/>
  <c r="S402" i="5" s="1"/>
  <c r="T402" i="5" s="1"/>
  <c r="U402" i="5" s="1"/>
  <c r="R1148" i="5"/>
  <c r="S1148" i="5" s="1"/>
  <c r="R1146" i="5"/>
  <c r="R1140" i="5"/>
  <c r="S1140" i="5" s="1"/>
  <c r="T1140" i="5" s="1"/>
  <c r="U1140" i="5" s="1"/>
  <c r="R1125" i="5"/>
  <c r="S1125" i="5" s="1"/>
  <c r="R342" i="5"/>
  <c r="S342" i="5" s="1"/>
  <c r="T342" i="5" s="1"/>
  <c r="U342" i="5" s="1"/>
  <c r="R965" i="5"/>
  <c r="S965" i="5" s="1"/>
  <c r="T965" i="5" s="1"/>
  <c r="U965" i="5" s="1"/>
  <c r="R974" i="5"/>
  <c r="S974" i="5" s="1"/>
  <c r="R128" i="5"/>
  <c r="S128" i="5" s="1"/>
  <c r="R679" i="5"/>
  <c r="S679" i="5" s="1"/>
  <c r="R687" i="5"/>
  <c r="S687" i="5" s="1"/>
  <c r="T687" i="5" s="1"/>
  <c r="U687" i="5" s="1"/>
  <c r="R697" i="5"/>
  <c r="R705" i="5"/>
  <c r="S705" i="5" s="1"/>
  <c r="T705" i="5" s="1"/>
  <c r="U705" i="5" s="1"/>
  <c r="O595" i="5"/>
  <c r="D47" i="12" s="1"/>
  <c r="C47" i="12" s="1"/>
  <c r="R1161" i="5"/>
  <c r="R344" i="5"/>
  <c r="S344" i="5" s="1"/>
  <c r="T344" i="5" s="1"/>
  <c r="U344" i="5" s="1"/>
  <c r="R1092" i="5"/>
  <c r="S1092" i="5" s="1"/>
  <c r="T1092" i="5" s="1"/>
  <c r="U1092" i="5" s="1"/>
  <c r="R254" i="5"/>
  <c r="S254" i="5" s="1"/>
  <c r="T254" i="5" s="1"/>
  <c r="U254" i="5" s="1"/>
  <c r="R1107" i="5"/>
  <c r="S1107" i="5" s="1"/>
  <c r="R1114" i="5"/>
  <c r="S1114" i="5" s="1"/>
  <c r="R292" i="5"/>
  <c r="S292" i="5" s="1"/>
  <c r="T292" i="5" s="1"/>
  <c r="U292" i="5" s="1"/>
  <c r="R1175" i="5"/>
  <c r="S1175" i="5" s="1"/>
  <c r="T1175" i="5" s="1"/>
  <c r="U1175" i="5" s="1"/>
  <c r="R1144" i="5"/>
  <c r="S1144" i="5" s="1"/>
  <c r="T1144" i="5" s="1"/>
  <c r="U1144" i="5" s="1"/>
  <c r="R442" i="5"/>
  <c r="S442" i="5" s="1"/>
  <c r="T442" i="5" s="1"/>
  <c r="U442" i="5" s="1"/>
  <c r="R568" i="5"/>
  <c r="S568" i="5" s="1"/>
  <c r="R535" i="5"/>
  <c r="S535" i="5" s="1"/>
  <c r="T535" i="5" s="1"/>
  <c r="U535" i="5" s="1"/>
  <c r="R1245" i="5"/>
  <c r="S1245" i="5" s="1"/>
  <c r="R446" i="5"/>
  <c r="S446" i="5" s="1"/>
  <c r="T446" i="5" s="1"/>
  <c r="U446" i="5" s="1"/>
  <c r="R888" i="5"/>
  <c r="S888" i="5" s="1"/>
  <c r="T888" i="5" s="1"/>
  <c r="U888" i="5" s="1"/>
  <c r="R889" i="5"/>
  <c r="S889" i="5" s="1"/>
  <c r="T889" i="5" s="1"/>
  <c r="U889" i="5" s="1"/>
  <c r="R912" i="5"/>
  <c r="S912" i="5" s="1"/>
  <c r="T912" i="5" s="1"/>
  <c r="U912" i="5" s="1"/>
  <c r="R193" i="5"/>
  <c r="S193" i="5" s="1"/>
  <c r="R952" i="5"/>
  <c r="S952" i="5" s="1"/>
  <c r="R88" i="5"/>
  <c r="R953" i="5"/>
  <c r="S953" i="5" s="1"/>
  <c r="T953" i="5" s="1"/>
  <c r="U953" i="5" s="1"/>
  <c r="R704" i="5"/>
  <c r="S704" i="5" s="1"/>
  <c r="T704" i="5" s="1"/>
  <c r="U704" i="5" s="1"/>
  <c r="R921" i="5"/>
  <c r="S921" i="5" s="1"/>
  <c r="T921" i="5" s="1"/>
  <c r="U921" i="5" s="1"/>
  <c r="R622" i="5"/>
  <c r="S622" i="5" s="1"/>
  <c r="T622" i="5" s="1"/>
  <c r="U622" i="5" s="1"/>
  <c r="R418" i="5"/>
  <c r="R1219" i="5"/>
  <c r="S1219" i="5" s="1"/>
  <c r="T1219" i="5" s="1"/>
  <c r="U1219" i="5" s="1"/>
  <c r="R1156" i="5"/>
  <c r="R295" i="5"/>
  <c r="S295" i="5" s="1"/>
  <c r="T295" i="5" s="1"/>
  <c r="U295" i="5" s="1"/>
  <c r="R1138" i="5"/>
  <c r="S1138" i="5" s="1"/>
  <c r="R797" i="5"/>
  <c r="R334" i="5"/>
  <c r="R538" i="5"/>
  <c r="S538" i="5" s="1"/>
  <c r="T538" i="5" s="1"/>
  <c r="U538" i="5" s="1"/>
  <c r="R875" i="5"/>
  <c r="S875" i="5" s="1"/>
  <c r="T875" i="5" s="1"/>
  <c r="U875" i="5" s="1"/>
  <c r="R996" i="5"/>
  <c r="S996" i="5" s="1"/>
  <c r="R663" i="5"/>
  <c r="S663" i="5" s="1"/>
  <c r="T663" i="5" s="1"/>
  <c r="U663" i="5" s="1"/>
  <c r="R137" i="5"/>
  <c r="R718" i="5"/>
  <c r="S718" i="5" s="1"/>
  <c r="R352" i="5"/>
  <c r="S352" i="5" s="1"/>
  <c r="R462" i="5"/>
  <c r="R403" i="5"/>
  <c r="R810" i="5"/>
  <c r="S810" i="5" s="1"/>
  <c r="T810" i="5" s="1"/>
  <c r="U810" i="5" s="1"/>
  <c r="R796" i="5"/>
  <c r="S796" i="5" s="1"/>
  <c r="T796" i="5" s="1"/>
  <c r="U796" i="5" s="1"/>
  <c r="R1229" i="5"/>
  <c r="R684" i="5"/>
  <c r="S684" i="5" s="1"/>
  <c r="T684" i="5" s="1"/>
  <c r="U684" i="5" s="1"/>
  <c r="R155" i="5"/>
  <c r="S155" i="5" s="1"/>
  <c r="R685" i="5"/>
  <c r="S685" i="5" s="1"/>
  <c r="R177" i="5"/>
  <c r="S177" i="5" s="1"/>
  <c r="R432" i="5"/>
  <c r="S432" i="5" s="1"/>
  <c r="T432" i="5" s="1"/>
  <c r="U432" i="5" s="1"/>
  <c r="R1151" i="5"/>
  <c r="S1151" i="5" s="1"/>
  <c r="R52" i="5"/>
  <c r="S52" i="5" s="1"/>
  <c r="R1185" i="5"/>
  <c r="R975" i="5"/>
  <c r="S975" i="5" s="1"/>
  <c r="R238" i="5"/>
  <c r="S238" i="5" s="1"/>
  <c r="T238" i="5" s="1"/>
  <c r="U238" i="5" s="1"/>
  <c r="R107" i="5"/>
  <c r="S107" i="5" s="1"/>
  <c r="R92" i="5"/>
  <c r="S92" i="5" s="1"/>
  <c r="T92" i="5" s="1"/>
  <c r="U92" i="5" s="1"/>
  <c r="R659" i="5"/>
  <c r="S659" i="5" s="1"/>
  <c r="T659" i="5" s="1"/>
  <c r="U659" i="5" s="1"/>
  <c r="R421" i="5"/>
  <c r="N184" i="5"/>
  <c r="B37" i="12" s="1"/>
  <c r="R326" i="5"/>
  <c r="S326" i="5" s="1"/>
  <c r="R322" i="5"/>
  <c r="S322" i="5" s="1"/>
  <c r="T322" i="5" s="1"/>
  <c r="U322" i="5" s="1"/>
  <c r="R318" i="5"/>
  <c r="S318" i="5" s="1"/>
  <c r="R316" i="5"/>
  <c r="S316" i="5" s="1"/>
  <c r="R314" i="5"/>
  <c r="R291" i="5"/>
  <c r="S291" i="5" s="1"/>
  <c r="T291" i="5" s="1"/>
  <c r="U291" i="5" s="1"/>
  <c r="R279" i="5"/>
  <c r="R1091" i="5"/>
  <c r="S1091" i="5" s="1"/>
  <c r="T1091" i="5" s="1"/>
  <c r="U1091" i="5" s="1"/>
  <c r="R1053" i="5"/>
  <c r="S1053" i="5" s="1"/>
  <c r="R1050" i="5"/>
  <c r="S1050" i="5" s="1"/>
  <c r="R246" i="5"/>
  <c r="S246" i="5" s="1"/>
  <c r="T246" i="5" s="1"/>
  <c r="U246" i="5" s="1"/>
  <c r="R1042" i="5"/>
  <c r="S1042" i="5" s="1"/>
  <c r="T1042" i="5" s="1"/>
  <c r="U1042" i="5" s="1"/>
  <c r="R1040" i="5"/>
  <c r="R1038" i="5"/>
  <c r="S1038" i="5" s="1"/>
  <c r="T1038" i="5" s="1"/>
  <c r="U1038" i="5" s="1"/>
  <c r="R1036" i="5"/>
  <c r="S1036" i="5" s="1"/>
  <c r="T1036" i="5" s="1"/>
  <c r="U1036" i="5" s="1"/>
  <c r="R999" i="5"/>
  <c r="R994" i="5"/>
  <c r="R1010" i="5"/>
  <c r="S1010" i="5" s="1"/>
  <c r="T1010" i="5" s="1"/>
  <c r="U1010" i="5" s="1"/>
  <c r="R811" i="5"/>
  <c r="S811" i="5" s="1"/>
  <c r="T811" i="5" s="1"/>
  <c r="U811" i="5" s="1"/>
  <c r="R801" i="5"/>
  <c r="R1066" i="5"/>
  <c r="S1066" i="5" s="1"/>
  <c r="R1067" i="5"/>
  <c r="S1067" i="5" s="1"/>
  <c r="T1067" i="5" s="1"/>
  <c r="U1067" i="5" s="1"/>
  <c r="R475" i="5"/>
  <c r="S475" i="5" s="1"/>
  <c r="T475" i="5" s="1"/>
  <c r="U475" i="5" s="1"/>
  <c r="T361" i="5"/>
  <c r="U361" i="5" s="1"/>
  <c r="O527" i="5"/>
  <c r="P713" i="5"/>
  <c r="Q713" i="5" s="1"/>
  <c r="Q723" i="5" s="1"/>
  <c r="R1048" i="5"/>
  <c r="S1048" i="5" s="1"/>
  <c r="T1048" i="5" s="1"/>
  <c r="U1048" i="5" s="1"/>
  <c r="R1103" i="5"/>
  <c r="S1103" i="5" s="1"/>
  <c r="T1103" i="5" s="1"/>
  <c r="U1103" i="5" s="1"/>
  <c r="R588" i="5"/>
  <c r="S588" i="5" s="1"/>
  <c r="T588" i="5" s="1"/>
  <c r="U588" i="5" s="1"/>
  <c r="R380" i="5"/>
  <c r="S380" i="5" s="1"/>
  <c r="O674" i="5"/>
  <c r="D49" i="12" s="1"/>
  <c r="N674" i="5"/>
  <c r="R615" i="5"/>
  <c r="S615" i="5" s="1"/>
  <c r="T615" i="5" s="1"/>
  <c r="U615" i="5" s="1"/>
  <c r="R610" i="5"/>
  <c r="S610" i="5" s="1"/>
  <c r="T610" i="5" s="1"/>
  <c r="U610" i="5" s="1"/>
  <c r="R427" i="5"/>
  <c r="S427" i="5" s="1"/>
  <c r="T427" i="5" s="1"/>
  <c r="U427" i="5" s="1"/>
  <c r="R485" i="5"/>
  <c r="R589" i="5"/>
  <c r="S589" i="5" s="1"/>
  <c r="R593" i="5"/>
  <c r="S593" i="5" s="1"/>
  <c r="T593" i="5" s="1"/>
  <c r="U593" i="5" s="1"/>
  <c r="C39" i="12"/>
  <c r="R470" i="5"/>
  <c r="P480" i="5"/>
  <c r="Q480" i="5" s="1"/>
  <c r="R480" i="5" s="1"/>
  <c r="S480" i="5" s="1"/>
  <c r="T480" i="5" s="1"/>
  <c r="U480" i="5" s="1"/>
  <c r="O524" i="5"/>
  <c r="D43" i="12" s="1"/>
  <c r="Q465" i="5"/>
  <c r="R465" i="5"/>
  <c r="R450" i="5"/>
  <c r="R140" i="5"/>
  <c r="R892" i="5"/>
  <c r="R788" i="5"/>
  <c r="S788" i="5" s="1"/>
  <c r="R840" i="5"/>
  <c r="S840" i="5" s="1"/>
  <c r="T840" i="5" s="1"/>
  <c r="U840" i="5" s="1"/>
  <c r="R578" i="5"/>
  <c r="R906" i="5"/>
  <c r="S906" i="5" s="1"/>
  <c r="T906" i="5" s="1"/>
  <c r="U906" i="5" s="1"/>
  <c r="R79" i="5"/>
  <c r="S79" i="5" s="1"/>
  <c r="T79" i="5" s="1"/>
  <c r="U79" i="5" s="1"/>
  <c r="R81" i="5"/>
  <c r="S81" i="5" s="1"/>
  <c r="R561" i="5"/>
  <c r="R230" i="5"/>
  <c r="S230" i="5" s="1"/>
  <c r="T230" i="5" s="1"/>
  <c r="U230" i="5" s="1"/>
  <c r="R1090" i="5"/>
  <c r="R1027" i="5"/>
  <c r="S1027" i="5" s="1"/>
  <c r="T1027" i="5" s="1"/>
  <c r="U1027" i="5" s="1"/>
  <c r="R856" i="5"/>
  <c r="S856" i="5" s="1"/>
  <c r="R362" i="5"/>
  <c r="S362" i="5" s="1"/>
  <c r="T362" i="5" s="1"/>
  <c r="U362" i="5" s="1"/>
  <c r="R1069" i="5"/>
  <c r="R71" i="5"/>
  <c r="R1162" i="5"/>
  <c r="R601" i="5"/>
  <c r="S601" i="5" s="1"/>
  <c r="T601" i="5" s="1"/>
  <c r="U601" i="5" s="1"/>
  <c r="R1239" i="5"/>
  <c r="S1239" i="5" s="1"/>
  <c r="R298" i="5"/>
  <c r="S298" i="5" s="1"/>
  <c r="R320" i="5"/>
  <c r="R368" i="5"/>
  <c r="S368" i="5" s="1"/>
  <c r="T368" i="5" s="1"/>
  <c r="U368" i="5" s="1"/>
  <c r="R379" i="5"/>
  <c r="S379" i="5" s="1"/>
  <c r="T379" i="5" s="1"/>
  <c r="U379" i="5" s="1"/>
  <c r="R590" i="5"/>
  <c r="S590" i="5" s="1"/>
  <c r="T590" i="5" s="1"/>
  <c r="U590" i="5" s="1"/>
  <c r="R496" i="5"/>
  <c r="S496" i="5" s="1"/>
  <c r="R433" i="5"/>
  <c r="R836" i="5"/>
  <c r="S836" i="5" s="1"/>
  <c r="R644" i="5"/>
  <c r="R655" i="5"/>
  <c r="S655" i="5" s="1"/>
  <c r="T655" i="5" s="1"/>
  <c r="U655" i="5" s="1"/>
  <c r="R493" i="5"/>
  <c r="S493" i="5" s="1"/>
  <c r="T493" i="5" s="1"/>
  <c r="U493" i="5" s="1"/>
  <c r="R1071" i="5"/>
  <c r="S1071" i="5" s="1"/>
  <c r="R1136" i="5"/>
  <c r="S1136" i="5" s="1"/>
  <c r="T1136" i="5" s="1"/>
  <c r="U1136" i="5" s="1"/>
  <c r="R883" i="5"/>
  <c r="S883" i="5" s="1"/>
  <c r="T883" i="5" s="1"/>
  <c r="U883" i="5" s="1"/>
  <c r="R988" i="5"/>
  <c r="R1109" i="5"/>
  <c r="S1109" i="5" s="1"/>
  <c r="T1109" i="5" s="1"/>
  <c r="U1109" i="5" s="1"/>
  <c r="R1093" i="5"/>
  <c r="S1093" i="5" s="1"/>
  <c r="T1093" i="5" s="1"/>
  <c r="U1093" i="5" s="1"/>
  <c r="R1064" i="5"/>
  <c r="R1047" i="5"/>
  <c r="R986" i="5"/>
  <c r="S986" i="5" s="1"/>
  <c r="T986" i="5" s="1"/>
  <c r="U986" i="5" s="1"/>
  <c r="R633" i="5"/>
  <c r="S633" i="5" s="1"/>
  <c r="T633" i="5" s="1"/>
  <c r="U633" i="5" s="1"/>
  <c r="R792" i="5"/>
  <c r="S792" i="5" s="1"/>
  <c r="R1012" i="5"/>
  <c r="R68" i="5"/>
  <c r="R1078" i="5"/>
  <c r="S1078" i="5" s="1"/>
  <c r="T1078" i="5" s="1"/>
  <c r="U1078" i="5" s="1"/>
  <c r="R331" i="5"/>
  <c r="S331" i="5" s="1"/>
  <c r="R1008" i="5"/>
  <c r="S1008" i="5" s="1"/>
  <c r="T1008" i="5" s="1"/>
  <c r="U1008" i="5" s="1"/>
  <c r="R955" i="5"/>
  <c r="S955" i="5" s="1"/>
  <c r="R1111" i="5"/>
  <c r="S1111" i="5" s="1"/>
  <c r="T1111" i="5" s="1"/>
  <c r="U1111" i="5" s="1"/>
  <c r="R287" i="5"/>
  <c r="S287" i="5" s="1"/>
  <c r="T287" i="5" s="1"/>
  <c r="U287" i="5" s="1"/>
  <c r="R486" i="5"/>
  <c r="S486" i="5" s="1"/>
  <c r="R492" i="5"/>
  <c r="S492" i="5" s="1"/>
  <c r="T492" i="5" s="1"/>
  <c r="U492" i="5" s="1"/>
  <c r="R668" i="5"/>
  <c r="S668" i="5" s="1"/>
  <c r="T668" i="5" s="1"/>
  <c r="U668" i="5" s="1"/>
  <c r="R630" i="5"/>
  <c r="R541" i="5"/>
  <c r="S541" i="5" s="1"/>
  <c r="R499" i="5"/>
  <c r="S499" i="5" s="1"/>
  <c r="R506" i="5"/>
  <c r="S506" i="5" s="1"/>
  <c r="R388" i="5"/>
  <c r="S388" i="5" s="1"/>
  <c r="T388" i="5" s="1"/>
  <c r="U388" i="5" s="1"/>
  <c r="P346" i="5"/>
  <c r="Q346" i="5" s="1"/>
  <c r="O398" i="5"/>
  <c r="D41" i="12" s="1"/>
  <c r="C41" i="12" s="1"/>
  <c r="P708" i="5"/>
  <c r="Q708" i="5" s="1"/>
  <c r="R708" i="5" s="1"/>
  <c r="O710" i="5"/>
  <c r="D51" i="12" s="1"/>
  <c r="C51" i="12" s="1"/>
  <c r="R1132" i="5"/>
  <c r="S1132" i="5" s="1"/>
  <c r="R384" i="5"/>
  <c r="S384" i="5" s="1"/>
  <c r="R533" i="5"/>
  <c r="S533" i="5" s="1"/>
  <c r="T533" i="5" s="1"/>
  <c r="U533" i="5" s="1"/>
  <c r="R478" i="5"/>
  <c r="R1099" i="5"/>
  <c r="R309" i="5"/>
  <c r="S309" i="5" s="1"/>
  <c r="R174" i="5"/>
  <c r="S174" i="5" s="1"/>
  <c r="T174" i="5" s="1"/>
  <c r="U174" i="5" s="1"/>
  <c r="R85" i="5"/>
  <c r="S85" i="5" s="1"/>
  <c r="R534" i="5"/>
  <c r="S534" i="5" s="1"/>
  <c r="T534" i="5" s="1"/>
  <c r="U534" i="5" s="1"/>
  <c r="R263" i="5"/>
  <c r="S263" i="5" s="1"/>
  <c r="T263" i="5" s="1"/>
  <c r="U263" i="5" s="1"/>
  <c r="R799" i="5"/>
  <c r="S799" i="5" s="1"/>
  <c r="R579" i="5"/>
  <c r="R288" i="5"/>
  <c r="S288" i="5" s="1"/>
  <c r="T288" i="5" s="1"/>
  <c r="U288" i="5" s="1"/>
  <c r="R228" i="5"/>
  <c r="S228" i="5" s="1"/>
  <c r="T228" i="5" s="1"/>
  <c r="U228" i="5" s="1"/>
  <c r="R658" i="5"/>
  <c r="R1061" i="5"/>
  <c r="S1061" i="5" s="1"/>
  <c r="R67" i="5"/>
  <c r="S67" i="5" s="1"/>
  <c r="R922" i="5"/>
  <c r="S922" i="5" s="1"/>
  <c r="R960" i="5"/>
  <c r="S960" i="5" s="1"/>
  <c r="T960" i="5" s="1"/>
  <c r="U960" i="5" s="1"/>
  <c r="R307" i="5"/>
  <c r="R989" i="5"/>
  <c r="S989" i="5" s="1"/>
  <c r="R942" i="5"/>
  <c r="S942" i="5" s="1"/>
  <c r="T942" i="5" s="1"/>
  <c r="U942" i="5" s="1"/>
  <c r="R80" i="5"/>
  <c r="R422" i="5"/>
  <c r="S422" i="5" s="1"/>
  <c r="R267" i="5"/>
  <c r="R133" i="5"/>
  <c r="S133" i="5" s="1"/>
  <c r="T133" i="5" s="1"/>
  <c r="U133" i="5" s="1"/>
  <c r="R1235" i="5"/>
  <c r="S1235" i="5" s="1"/>
  <c r="T1235" i="5" s="1"/>
  <c r="U1235" i="5" s="1"/>
  <c r="R816" i="5"/>
  <c r="S816" i="5" s="1"/>
  <c r="T816" i="5" s="1"/>
  <c r="U816" i="5" s="1"/>
  <c r="R958" i="5"/>
  <c r="S958" i="5" s="1"/>
  <c r="R843" i="5"/>
  <c r="S843" i="5" s="1"/>
  <c r="T843" i="5" s="1"/>
  <c r="U843" i="5" s="1"/>
  <c r="R1255" i="5"/>
  <c r="S1255" i="5" s="1"/>
  <c r="R1054" i="5"/>
  <c r="R31" i="5"/>
  <c r="S31" i="5" s="1"/>
  <c r="T31" i="5" s="1"/>
  <c r="U31" i="5" s="1"/>
  <c r="R1129" i="5"/>
  <c r="R426" i="5"/>
  <c r="S426" i="5" s="1"/>
  <c r="T426" i="5" s="1"/>
  <c r="U426" i="5" s="1"/>
  <c r="R60" i="5"/>
  <c r="S60" i="5" s="1"/>
  <c r="R25" i="5"/>
  <c r="S25" i="5" s="1"/>
  <c r="R30" i="5"/>
  <c r="S30" i="5" s="1"/>
  <c r="R833" i="5"/>
  <c r="R574" i="5"/>
  <c r="S574" i="5" s="1"/>
  <c r="R696" i="5"/>
  <c r="R312" i="5"/>
  <c r="R91" i="5"/>
  <c r="R1150" i="5"/>
  <c r="S1150" i="5" s="1"/>
  <c r="T1150" i="5" s="1"/>
  <c r="U1150" i="5" s="1"/>
  <c r="R1060" i="5"/>
  <c r="S1060" i="5" s="1"/>
  <c r="R1193" i="5"/>
  <c r="S1193" i="5" s="1"/>
  <c r="T1193" i="5" s="1"/>
  <c r="U1193" i="5" s="1"/>
  <c r="R669" i="5"/>
  <c r="R463" i="5"/>
  <c r="S463" i="5" s="1"/>
  <c r="R1200" i="5"/>
  <c r="S1200" i="5" s="1"/>
  <c r="T1200" i="5" s="1"/>
  <c r="U1200" i="5" s="1"/>
  <c r="R929" i="5"/>
  <c r="S929" i="5" s="1"/>
  <c r="T929" i="5" s="1"/>
  <c r="U929" i="5" s="1"/>
  <c r="R22" i="5"/>
  <c r="R853" i="5"/>
  <c r="R933" i="5"/>
  <c r="R624" i="5"/>
  <c r="S624" i="5" s="1"/>
  <c r="T624" i="5" s="1"/>
  <c r="U624" i="5" s="1"/>
  <c r="R1021" i="5"/>
  <c r="S1021" i="5" s="1"/>
  <c r="R1176" i="5"/>
  <c r="S1176" i="5" s="1"/>
  <c r="T1176" i="5" s="1"/>
  <c r="U1176" i="5" s="1"/>
  <c r="R87" i="5"/>
  <c r="S87" i="5" s="1"/>
  <c r="T87" i="5" s="1"/>
  <c r="U87" i="5" s="1"/>
  <c r="R300" i="5"/>
  <c r="R260" i="5"/>
  <c r="S260" i="5" s="1"/>
  <c r="T260" i="5" s="1"/>
  <c r="U260" i="5" s="1"/>
  <c r="R1232" i="5"/>
  <c r="R877" i="5"/>
  <c r="S877" i="5" s="1"/>
  <c r="R1073" i="5"/>
  <c r="S1073" i="5" s="1"/>
  <c r="T1073" i="5" s="1"/>
  <c r="U1073" i="5" s="1"/>
  <c r="R544" i="5"/>
  <c r="S544" i="5" s="1"/>
  <c r="T544" i="5" s="1"/>
  <c r="U544" i="5" s="1"/>
  <c r="R819" i="5"/>
  <c r="S819" i="5" s="1"/>
  <c r="R1039" i="5"/>
  <c r="S1039" i="5" s="1"/>
  <c r="T1039" i="5" s="1"/>
  <c r="U1039" i="5" s="1"/>
  <c r="R410" i="5"/>
  <c r="S410" i="5" s="1"/>
  <c r="R1204" i="5"/>
  <c r="S1204" i="5" s="1"/>
  <c r="R223" i="5"/>
  <c r="S223" i="5" s="1"/>
  <c r="T223" i="5" s="1"/>
  <c r="U223" i="5" s="1"/>
  <c r="R74" i="5"/>
  <c r="S74" i="5" s="1"/>
  <c r="R366" i="5"/>
  <c r="S366" i="5" s="1"/>
  <c r="R606" i="5"/>
  <c r="R515" i="5"/>
  <c r="R157" i="5"/>
  <c r="S157" i="5" s="1"/>
  <c r="T157" i="5" s="1"/>
  <c r="U157" i="5" s="1"/>
  <c r="R498" i="5"/>
  <c r="R948" i="5"/>
  <c r="R1030" i="5"/>
  <c r="R467" i="5"/>
  <c r="R664" i="5"/>
  <c r="S664" i="5" s="1"/>
  <c r="R550" i="5"/>
  <c r="S550" i="5" s="1"/>
  <c r="R211" i="5"/>
  <c r="S211" i="5" s="1"/>
  <c r="T211" i="5" s="1"/>
  <c r="U211" i="5" s="1"/>
  <c r="R890" i="5"/>
  <c r="S890" i="5" s="1"/>
  <c r="R280" i="5"/>
  <c r="S280" i="5" s="1"/>
  <c r="R1082" i="5"/>
  <c r="S1082" i="5" s="1"/>
  <c r="T1082" i="5" s="1"/>
  <c r="U1082" i="5" s="1"/>
  <c r="R884" i="5"/>
  <c r="S884" i="5" s="1"/>
  <c r="T884" i="5" s="1"/>
  <c r="U884" i="5" s="1"/>
  <c r="R1045" i="5"/>
  <c r="S1045" i="5" s="1"/>
  <c r="T1045" i="5" s="1"/>
  <c r="U1045" i="5" s="1"/>
  <c r="R1025" i="5"/>
  <c r="S1025" i="5" s="1"/>
  <c r="T1025" i="5" s="1"/>
  <c r="U1025" i="5" s="1"/>
  <c r="R738" i="5"/>
  <c r="S738" i="5" s="1"/>
  <c r="R310" i="5"/>
  <c r="S310" i="5" s="1"/>
  <c r="R265" i="5"/>
  <c r="R591" i="5"/>
  <c r="R814" i="5"/>
  <c r="S814" i="5" s="1"/>
  <c r="T814" i="5" s="1"/>
  <c r="U814" i="5" s="1"/>
  <c r="R907" i="5"/>
  <c r="S907" i="5" s="1"/>
  <c r="R34" i="5"/>
  <c r="R909" i="5"/>
  <c r="R302" i="5"/>
  <c r="S302" i="5" s="1"/>
  <c r="T302" i="5" s="1"/>
  <c r="U302" i="5" s="1"/>
  <c r="R191" i="5"/>
  <c r="S191" i="5" s="1"/>
  <c r="T191" i="5" s="1"/>
  <c r="U191" i="5" s="1"/>
  <c r="R1018" i="5"/>
  <c r="R1248" i="5"/>
  <c r="R461" i="5"/>
  <c r="S461" i="5" s="1"/>
  <c r="T461" i="5" s="1"/>
  <c r="U461" i="5" s="1"/>
  <c r="R196" i="5"/>
  <c r="S196" i="5" s="1"/>
  <c r="T196" i="5" s="1"/>
  <c r="U196" i="5" s="1"/>
  <c r="R885" i="5"/>
  <c r="S885" i="5" s="1"/>
  <c r="R896" i="5"/>
  <c r="S896" i="5" s="1"/>
  <c r="T896" i="5" s="1"/>
  <c r="U896" i="5" s="1"/>
  <c r="R1187" i="5"/>
  <c r="S1187" i="5" s="1"/>
  <c r="T1187" i="5" s="1"/>
  <c r="U1187" i="5" s="1"/>
  <c r="R1029" i="5"/>
  <c r="R1197" i="5"/>
  <c r="S1197" i="5" s="1"/>
  <c r="T1197" i="5" s="1"/>
  <c r="U1197" i="5" s="1"/>
  <c r="R1020" i="5"/>
  <c r="S1020" i="5" s="1"/>
  <c r="T1020" i="5" s="1"/>
  <c r="U1020" i="5" s="1"/>
  <c r="R343" i="5"/>
  <c r="S343" i="5" s="1"/>
  <c r="R252" i="5"/>
  <c r="S252" i="5" s="1"/>
  <c r="T252" i="5" s="1"/>
  <c r="U252" i="5" s="1"/>
  <c r="R548" i="5"/>
  <c r="S548" i="5" s="1"/>
  <c r="R372" i="5"/>
  <c r="S372" i="5" s="1"/>
  <c r="R120" i="5"/>
  <c r="R862" i="5"/>
  <c r="S862" i="5" s="1"/>
  <c r="R217" i="5"/>
  <c r="S217" i="5" s="1"/>
  <c r="T217" i="5" s="1"/>
  <c r="U217" i="5" s="1"/>
  <c r="R897" i="5"/>
  <c r="S897" i="5" s="1"/>
  <c r="T897" i="5" s="1"/>
  <c r="U897" i="5" s="1"/>
  <c r="R915" i="5"/>
  <c r="S915" i="5" s="1"/>
  <c r="T915" i="5" s="1"/>
  <c r="U915" i="5" s="1"/>
  <c r="R33" i="5"/>
  <c r="S33" i="5" s="1"/>
  <c r="R297" i="5"/>
  <c r="S297" i="5" s="1"/>
  <c r="T297" i="5" s="1"/>
  <c r="U297" i="5" s="1"/>
  <c r="R202" i="5"/>
  <c r="S202" i="5" s="1"/>
  <c r="R876" i="5"/>
  <c r="R813" i="5"/>
  <c r="R383" i="5"/>
  <c r="Q1241" i="5"/>
  <c r="Q595" i="5" s="1"/>
  <c r="P595" i="5"/>
  <c r="T805" i="5"/>
  <c r="U805" i="5" s="1"/>
  <c r="T1214" i="5"/>
  <c r="U1214" i="5" s="1"/>
  <c r="T1222" i="5"/>
  <c r="U1222" i="5" s="1"/>
  <c r="T679" i="5"/>
  <c r="U679" i="5" s="1"/>
  <c r="R650" i="5"/>
  <c r="R914" i="5"/>
  <c r="S914" i="5" s="1"/>
  <c r="R973" i="5"/>
  <c r="S973" i="5" s="1"/>
  <c r="T973" i="5" s="1"/>
  <c r="U973" i="5" s="1"/>
  <c r="R1086" i="5"/>
  <c r="S1086" i="5" s="1"/>
  <c r="R1259" i="5"/>
  <c r="S1259" i="5" s="1"/>
  <c r="R547" i="5"/>
  <c r="R1034" i="5"/>
  <c r="S1034" i="5" s="1"/>
  <c r="T1034" i="5" s="1"/>
  <c r="U1034" i="5" s="1"/>
  <c r="R396" i="5"/>
  <c r="R391" i="5"/>
  <c r="S391" i="5" s="1"/>
  <c r="T391" i="5" s="1"/>
  <c r="U391" i="5" s="1"/>
  <c r="R511" i="5"/>
  <c r="S511" i="5" s="1"/>
  <c r="R275" i="5"/>
  <c r="R632" i="5"/>
  <c r="S632" i="5" s="1"/>
  <c r="T632" i="5" s="1"/>
  <c r="U632" i="5" s="1"/>
  <c r="R691" i="5"/>
  <c r="S691" i="5" s="1"/>
  <c r="R562" i="5"/>
  <c r="R1028" i="5"/>
  <c r="S1028" i="5" s="1"/>
  <c r="T1028" i="5" s="1"/>
  <c r="U1028" i="5" s="1"/>
  <c r="R1043" i="5"/>
  <c r="R481" i="5"/>
  <c r="S481" i="5" s="1"/>
  <c r="R306" i="5"/>
  <c r="S306" i="5" s="1"/>
  <c r="Q686" i="5"/>
  <c r="T580" i="5"/>
  <c r="U580" i="5" s="1"/>
  <c r="R1257" i="5"/>
  <c r="R19" i="5"/>
  <c r="R967" i="5"/>
  <c r="S967" i="5" s="1"/>
  <c r="T967" i="5" s="1"/>
  <c r="U967" i="5" s="1"/>
  <c r="R661" i="5"/>
  <c r="S661" i="5" s="1"/>
  <c r="T661" i="5" s="1"/>
  <c r="U661" i="5" s="1"/>
  <c r="R1023" i="5"/>
  <c r="S1023" i="5" s="1"/>
  <c r="R1006" i="5"/>
  <c r="S1006" i="5" s="1"/>
  <c r="R991" i="5"/>
  <c r="R670" i="5"/>
  <c r="S670" i="5" s="1"/>
  <c r="T670" i="5" s="1"/>
  <c r="U670" i="5" s="1"/>
  <c r="R233" i="5"/>
  <c r="R268" i="5"/>
  <c r="S268" i="5" s="1"/>
  <c r="T268" i="5" s="1"/>
  <c r="U268" i="5" s="1"/>
  <c r="R1035" i="5"/>
  <c r="S1035" i="5" s="1"/>
  <c r="T1035" i="5" s="1"/>
  <c r="U1035" i="5" s="1"/>
  <c r="R1143" i="5"/>
  <c r="S1143" i="5" s="1"/>
  <c r="T1143" i="5" s="1"/>
  <c r="U1143" i="5" s="1"/>
  <c r="R1213" i="5"/>
  <c r="R365" i="5"/>
  <c r="R47" i="5"/>
  <c r="S47" i="5" s="1"/>
  <c r="T47" i="5" s="1"/>
  <c r="U47" i="5" s="1"/>
  <c r="R338" i="5"/>
  <c r="S338" i="5" s="1"/>
  <c r="R261" i="5"/>
  <c r="R600" i="5"/>
  <c r="S600" i="5" s="1"/>
  <c r="T600" i="5" s="1"/>
  <c r="U600" i="5" s="1"/>
  <c r="R377" i="5"/>
  <c r="R26" i="5"/>
  <c r="S26" i="5" s="1"/>
  <c r="R895" i="5"/>
  <c r="S895" i="5" s="1"/>
  <c r="T895" i="5" s="1"/>
  <c r="U895" i="5" s="1"/>
  <c r="R142" i="5"/>
  <c r="S142" i="5" s="1"/>
  <c r="T142" i="5" s="1"/>
  <c r="U142" i="5" s="1"/>
  <c r="R108" i="5"/>
  <c r="S108" i="5" s="1"/>
  <c r="R104" i="5"/>
  <c r="S104" i="5" s="1"/>
  <c r="T104" i="5" s="1"/>
  <c r="U104" i="5" s="1"/>
  <c r="R58" i="5"/>
  <c r="S58" i="5" s="1"/>
  <c r="R868" i="5"/>
  <c r="S868" i="5" s="1"/>
  <c r="R869" i="5"/>
  <c r="S869" i="5" s="1"/>
  <c r="T869" i="5" s="1"/>
  <c r="U869" i="5" s="1"/>
  <c r="R54" i="5"/>
  <c r="S54" i="5" s="1"/>
  <c r="T54" i="5" s="1"/>
  <c r="U54" i="5" s="1"/>
  <c r="R837" i="5"/>
  <c r="S837" i="5" s="1"/>
  <c r="R790" i="5"/>
  <c r="S790" i="5" s="1"/>
  <c r="R789" i="5"/>
  <c r="S789" i="5" s="1"/>
  <c r="T789" i="5" s="1"/>
  <c r="U789" i="5" s="1"/>
  <c r="R807" i="5"/>
  <c r="S807" i="5" s="1"/>
  <c r="T807" i="5" s="1"/>
  <c r="U807" i="5" s="1"/>
  <c r="R203" i="5"/>
  <c r="S203" i="5" s="1"/>
  <c r="R938" i="5"/>
  <c r="S938" i="5" s="1"/>
  <c r="T938" i="5" s="1"/>
  <c r="U938" i="5" s="1"/>
  <c r="R936" i="5"/>
  <c r="S936" i="5" s="1"/>
  <c r="T936" i="5" s="1"/>
  <c r="U936" i="5" s="1"/>
  <c r="R935" i="5"/>
  <c r="S935" i="5" s="1"/>
  <c r="R945" i="5"/>
  <c r="S945" i="5" s="1"/>
  <c r="T945" i="5" s="1"/>
  <c r="U945" i="5" s="1"/>
  <c r="R930" i="5"/>
  <c r="S930" i="5" s="1"/>
  <c r="T930" i="5" s="1"/>
  <c r="U930" i="5" s="1"/>
  <c r="R118" i="5"/>
  <c r="R882" i="5"/>
  <c r="S882" i="5" s="1"/>
  <c r="T882" i="5" s="1"/>
  <c r="U882" i="5" s="1"/>
  <c r="R918" i="5"/>
  <c r="S918" i="5" s="1"/>
  <c r="T918" i="5" s="1"/>
  <c r="U918" i="5" s="1"/>
  <c r="R55" i="5"/>
  <c r="S55" i="5" s="1"/>
  <c r="R874" i="5"/>
  <c r="S874" i="5" s="1"/>
  <c r="T874" i="5" s="1"/>
  <c r="U874" i="5" s="1"/>
  <c r="R823" i="5"/>
  <c r="S823" i="5" s="1"/>
  <c r="T823" i="5" s="1"/>
  <c r="U823" i="5" s="1"/>
  <c r="R829" i="5"/>
  <c r="S829" i="5" s="1"/>
  <c r="R834" i="5"/>
  <c r="S834" i="5" s="1"/>
  <c r="T834" i="5" s="1"/>
  <c r="U834" i="5" s="1"/>
  <c r="R828" i="5"/>
  <c r="S828" i="5" s="1"/>
  <c r="T828" i="5" s="1"/>
  <c r="U828" i="5" s="1"/>
  <c r="R878" i="5"/>
  <c r="S878" i="5" s="1"/>
  <c r="R880" i="5"/>
  <c r="S880" i="5" s="1"/>
  <c r="T880" i="5" s="1"/>
  <c r="U880" i="5" s="1"/>
  <c r="R29" i="5"/>
  <c r="S29" i="5" s="1"/>
  <c r="T29" i="5" s="1"/>
  <c r="U29" i="5" s="1"/>
  <c r="R218" i="5"/>
  <c r="S218" i="5" s="1"/>
  <c r="T218" i="5" s="1"/>
  <c r="U218" i="5" s="1"/>
  <c r="R131" i="5"/>
  <c r="S131" i="5" s="1"/>
  <c r="T131" i="5" s="1"/>
  <c r="U131" i="5" s="1"/>
  <c r="R32" i="5"/>
  <c r="S32" i="5" s="1"/>
  <c r="T32" i="5" s="1"/>
  <c r="U32" i="5" s="1"/>
  <c r="R199" i="5"/>
  <c r="S199" i="5" s="1"/>
  <c r="R130" i="5"/>
  <c r="S130" i="5" s="1"/>
  <c r="R110" i="5"/>
  <c r="S110" i="5" s="1"/>
  <c r="T110" i="5" s="1"/>
  <c r="U110" i="5" s="1"/>
  <c r="R112" i="5"/>
  <c r="S112" i="5" s="1"/>
  <c r="T112" i="5" s="1"/>
  <c r="U112" i="5" s="1"/>
  <c r="R802" i="5"/>
  <c r="S802" i="5" s="1"/>
  <c r="T802" i="5" s="1"/>
  <c r="U802" i="5" s="1"/>
  <c r="R920" i="5"/>
  <c r="S920" i="5" s="1"/>
  <c r="T920" i="5" s="1"/>
  <c r="U920" i="5" s="1"/>
  <c r="R93" i="5"/>
  <c r="S93" i="5" s="1"/>
  <c r="T93" i="5" s="1"/>
  <c r="U93" i="5" s="1"/>
  <c r="R134" i="5"/>
  <c r="S134" i="5" s="1"/>
  <c r="T134" i="5" s="1"/>
  <c r="U134" i="5" s="1"/>
  <c r="R114" i="5"/>
  <c r="S114" i="5" s="1"/>
  <c r="R27" i="5"/>
  <c r="S27" i="5" s="1"/>
  <c r="T27" i="5" s="1"/>
  <c r="U27" i="5" s="1"/>
  <c r="R105" i="5"/>
  <c r="S105" i="5" s="1"/>
  <c r="R931" i="5"/>
  <c r="S931" i="5" s="1"/>
  <c r="T931" i="5" s="1"/>
  <c r="U931" i="5" s="1"/>
  <c r="R937" i="5"/>
  <c r="S937" i="5" s="1"/>
  <c r="R893" i="5"/>
  <c r="S893" i="5" s="1"/>
  <c r="T893" i="5" s="1"/>
  <c r="U893" i="5" s="1"/>
  <c r="R934" i="5"/>
  <c r="S934" i="5" s="1"/>
  <c r="T934" i="5" s="1"/>
  <c r="U934" i="5" s="1"/>
  <c r="R959" i="5"/>
  <c r="S959" i="5" s="1"/>
  <c r="R881" i="5"/>
  <c r="S881" i="5" s="1"/>
  <c r="T881" i="5" s="1"/>
  <c r="U881" i="5" s="1"/>
  <c r="R56" i="5"/>
  <c r="S56" i="5" s="1"/>
  <c r="R804" i="5"/>
  <c r="S804" i="5" s="1"/>
  <c r="T804" i="5" s="1"/>
  <c r="U804" i="5" s="1"/>
  <c r="R835" i="5"/>
  <c r="S835" i="5" s="1"/>
  <c r="T835" i="5" s="1"/>
  <c r="U835" i="5" s="1"/>
  <c r="R879" i="5"/>
  <c r="R795" i="5"/>
  <c r="S795" i="5" s="1"/>
  <c r="R57" i="5"/>
  <c r="S57" i="5" s="1"/>
  <c r="R28" i="5"/>
  <c r="S28" i="5" s="1"/>
  <c r="R820" i="5"/>
  <c r="S820" i="5" s="1"/>
  <c r="T820" i="5" s="1"/>
  <c r="U820" i="5" s="1"/>
  <c r="R812" i="5"/>
  <c r="S812" i="5" s="1"/>
  <c r="R78" i="5"/>
  <c r="S78" i="5" s="1"/>
  <c r="T78" i="5" s="1"/>
  <c r="U78" i="5" s="1"/>
  <c r="R143" i="5"/>
  <c r="S143" i="5" s="1"/>
  <c r="T143" i="5" s="1"/>
  <c r="U143" i="5" s="1"/>
  <c r="R950" i="5"/>
  <c r="S950" i="5" s="1"/>
  <c r="R216" i="5"/>
  <c r="S216" i="5" s="1"/>
  <c r="R195" i="5"/>
  <c r="S195" i="5" s="1"/>
  <c r="T195" i="5" s="1"/>
  <c r="U195" i="5" s="1"/>
  <c r="R163" i="5"/>
  <c r="S163" i="5" s="1"/>
  <c r="T163" i="5" s="1"/>
  <c r="U163" i="5" s="1"/>
  <c r="R82" i="5"/>
  <c r="S82" i="5" s="1"/>
  <c r="R968" i="5"/>
  <c r="S968" i="5" s="1"/>
  <c r="T968" i="5" s="1"/>
  <c r="U968" i="5" s="1"/>
  <c r="R21" i="5"/>
  <c r="S21" i="5" s="1"/>
  <c r="R59" i="5"/>
  <c r="S59" i="5" s="1"/>
  <c r="R210" i="5"/>
  <c r="S210" i="5" s="1"/>
  <c r="R220" i="5"/>
  <c r="S220" i="5" s="1"/>
  <c r="R152" i="5"/>
  <c r="S152" i="5" s="1"/>
  <c r="T152" i="5" s="1"/>
  <c r="U152" i="5" s="1"/>
  <c r="R138" i="5"/>
  <c r="R151" i="5"/>
  <c r="S151" i="5" s="1"/>
  <c r="R172" i="5"/>
  <c r="S172" i="5" s="1"/>
  <c r="T172" i="5" s="1"/>
  <c r="U172" i="5" s="1"/>
  <c r="R219" i="5"/>
  <c r="S219" i="5" s="1"/>
  <c r="T219" i="5" s="1"/>
  <c r="U219" i="5" s="1"/>
  <c r="R77" i="5"/>
  <c r="S77" i="5" s="1"/>
  <c r="T77" i="5" s="1"/>
  <c r="U77" i="5" s="1"/>
  <c r="R212" i="5"/>
  <c r="S212" i="5" s="1"/>
  <c r="T212" i="5" s="1"/>
  <c r="U212" i="5" s="1"/>
  <c r="T86" i="5"/>
  <c r="U86" i="5" s="1"/>
  <c r="T128" i="5"/>
  <c r="U128" i="5" s="1"/>
  <c r="R707" i="5"/>
  <c r="S707" i="5" s="1"/>
  <c r="T974" i="5"/>
  <c r="U974" i="5" s="1"/>
  <c r="R98" i="5"/>
  <c r="S98" i="5" s="1"/>
  <c r="T98" i="5" s="1"/>
  <c r="U98" i="5" s="1"/>
  <c r="R63" i="5"/>
  <c r="Q63" i="5"/>
  <c r="Q184" i="5" s="1"/>
  <c r="R96" i="5"/>
  <c r="S96" i="5" s="1"/>
  <c r="R102" i="5"/>
  <c r="R122" i="5"/>
  <c r="S122" i="5" s="1"/>
  <c r="T122" i="5" s="1"/>
  <c r="U122" i="5" s="1"/>
  <c r="T67" i="5"/>
  <c r="U67" i="5" s="1"/>
  <c r="O184" i="5"/>
  <c r="D37" i="12" s="1"/>
  <c r="P184" i="5"/>
  <c r="T155" i="5"/>
  <c r="U155" i="5" s="1"/>
  <c r="T346" i="2"/>
  <c r="U346" i="2" s="1"/>
  <c r="T136" i="2"/>
  <c r="U136" i="2" s="1"/>
  <c r="P424" i="2"/>
  <c r="Q424" i="2" s="1"/>
  <c r="R424" i="2" s="1"/>
  <c r="S424" i="2" s="1"/>
  <c r="T424" i="2" s="1"/>
  <c r="U424" i="2" s="1"/>
  <c r="R288" i="2"/>
  <c r="E28" i="12" s="1"/>
  <c r="T455" i="2"/>
  <c r="U455" i="2" s="1"/>
  <c r="P252" i="2"/>
  <c r="N255" i="2"/>
  <c r="O255" i="2" s="1"/>
  <c r="P255" i="2" s="1"/>
  <c r="Q255" i="2" s="1"/>
  <c r="R255" i="2" s="1"/>
  <c r="S255" i="2" s="1"/>
  <c r="T255" i="2" s="1"/>
  <c r="U255" i="2" s="1"/>
  <c r="M463" i="2"/>
  <c r="R463" i="2" s="1"/>
  <c r="S463" i="2" s="1"/>
  <c r="T463" i="2" s="1"/>
  <c r="U463" i="2" s="1"/>
  <c r="T485" i="2"/>
  <c r="U485" i="2" s="1"/>
  <c r="R271" i="2"/>
  <c r="S271" i="2" s="1"/>
  <c r="T271" i="2" s="1"/>
  <c r="U271" i="2" s="1"/>
  <c r="R553" i="5"/>
  <c r="S553" i="5" s="1"/>
  <c r="T553" i="5" s="1"/>
  <c r="U553" i="5" s="1"/>
  <c r="R106" i="5"/>
  <c r="S106" i="5" s="1"/>
  <c r="T106" i="5" s="1"/>
  <c r="U106" i="5" s="1"/>
  <c r="R800" i="5"/>
  <c r="S800" i="5" s="1"/>
  <c r="T800" i="5" s="1"/>
  <c r="U800" i="5" s="1"/>
  <c r="R825" i="5"/>
  <c r="S825" i="5" s="1"/>
  <c r="T825" i="5" s="1"/>
  <c r="U825" i="5" s="1"/>
  <c r="R947" i="5"/>
  <c r="S947" i="5" s="1"/>
  <c r="T947" i="5" s="1"/>
  <c r="U947" i="5" s="1"/>
  <c r="R208" i="5"/>
  <c r="R558" i="5"/>
  <c r="R40" i="5"/>
  <c r="R285" i="5"/>
  <c r="S285" i="5" s="1"/>
  <c r="T285" i="5" s="1"/>
  <c r="U285" i="5" s="1"/>
  <c r="R83" i="5"/>
  <c r="S83" i="5" s="1"/>
  <c r="R448" i="5"/>
  <c r="S448" i="5" s="1"/>
  <c r="R243" i="5"/>
  <c r="S243" i="5" s="1"/>
  <c r="T243" i="5" s="1"/>
  <c r="U243" i="5" s="1"/>
  <c r="R207" i="5"/>
  <c r="S207" i="5" s="1"/>
  <c r="T207" i="5" s="1"/>
  <c r="U207" i="5" s="1"/>
  <c r="R327" i="5"/>
  <c r="S327" i="5" s="1"/>
  <c r="T327" i="5" s="1"/>
  <c r="U327" i="5" s="1"/>
  <c r="R1031" i="5"/>
  <c r="S1031" i="5" s="1"/>
  <c r="R913" i="5"/>
  <c r="S913" i="5" s="1"/>
  <c r="T913" i="5" s="1"/>
  <c r="U913" i="5" s="1"/>
  <c r="R585" i="5"/>
  <c r="S585" i="5" s="1"/>
  <c r="R932" i="5"/>
  <c r="S932" i="5" s="1"/>
  <c r="T932" i="5" s="1"/>
  <c r="U932" i="5" s="1"/>
  <c r="R794" i="5"/>
  <c r="S794" i="5" s="1"/>
  <c r="T794" i="5" s="1"/>
  <c r="U794" i="5" s="1"/>
  <c r="R839" i="5"/>
  <c r="S839" i="5" s="1"/>
  <c r="R452" i="5"/>
  <c r="S452" i="5" s="1"/>
  <c r="R1080" i="5"/>
  <c r="S1080" i="5" s="1"/>
  <c r="T1080" i="5" s="1"/>
  <c r="U1080" i="5" s="1"/>
  <c r="R209" i="5"/>
  <c r="S209" i="5" s="1"/>
  <c r="T209" i="5" s="1"/>
  <c r="U209" i="5" s="1"/>
  <c r="R809" i="5"/>
  <c r="S809" i="5" s="1"/>
  <c r="T809" i="5" s="1"/>
  <c r="U809" i="5" s="1"/>
  <c r="R887" i="5"/>
  <c r="S887" i="5" s="1"/>
  <c r="R392" i="5"/>
  <c r="S392" i="5" s="1"/>
  <c r="T392" i="5" s="1"/>
  <c r="U392" i="5" s="1"/>
  <c r="R124" i="5"/>
  <c r="R516" i="5"/>
  <c r="R395" i="5"/>
  <c r="S395" i="5" s="1"/>
  <c r="R251" i="5"/>
  <c r="S251" i="5" s="1"/>
  <c r="T251" i="5" s="1"/>
  <c r="U251" i="5" s="1"/>
  <c r="R1192" i="5"/>
  <c r="R1019" i="5"/>
  <c r="S1019" i="5" s="1"/>
  <c r="R1083" i="5"/>
  <c r="S1083" i="5" s="1"/>
  <c r="T1083" i="5" s="1"/>
  <c r="U1083" i="5" s="1"/>
  <c r="R296" i="5"/>
  <c r="S296" i="5" s="1"/>
  <c r="T296" i="5" s="1"/>
  <c r="U296" i="5" s="1"/>
  <c r="R173" i="5"/>
  <c r="S173" i="5" s="1"/>
  <c r="T173" i="5" s="1"/>
  <c r="U173" i="5" s="1"/>
  <c r="R647" i="5"/>
  <c r="R677" i="5"/>
  <c r="S677" i="5" s="1"/>
  <c r="R472" i="5"/>
  <c r="S472" i="5" s="1"/>
  <c r="T472" i="5" s="1"/>
  <c r="U472" i="5" s="1"/>
  <c r="R125" i="5"/>
  <c r="S125" i="5" s="1"/>
  <c r="T125" i="5" s="1"/>
  <c r="U125" i="5" s="1"/>
  <c r="R43" i="5"/>
  <c r="R129" i="5"/>
  <c r="S129" i="5" s="1"/>
  <c r="T129" i="5" s="1"/>
  <c r="U129" i="5" s="1"/>
  <c r="R1112" i="5"/>
  <c r="S1112" i="5" s="1"/>
  <c r="R190" i="5"/>
  <c r="S190" i="5" s="1"/>
  <c r="T190" i="5" s="1"/>
  <c r="U190" i="5" s="1"/>
  <c r="R1085" i="5"/>
  <c r="S1085" i="5" s="1"/>
  <c r="R1149" i="5"/>
  <c r="S1149" i="5" s="1"/>
  <c r="R1231" i="5"/>
  <c r="S1231" i="5" s="1"/>
  <c r="T1231" i="5" s="1"/>
  <c r="U1231" i="5" s="1"/>
  <c r="R573" i="5"/>
  <c r="S573" i="5" s="1"/>
  <c r="T573" i="5" s="1"/>
  <c r="U573" i="5" s="1"/>
  <c r="R225" i="5"/>
  <c r="S225" i="5" s="1"/>
  <c r="T225" i="5" s="1"/>
  <c r="U225" i="5" s="1"/>
  <c r="R714" i="5"/>
  <c r="R49" i="5"/>
  <c r="S49" i="5" s="1"/>
  <c r="R917" i="5"/>
  <c r="S917" i="5" s="1"/>
  <c r="T917" i="5" s="1"/>
  <c r="U917" i="5" s="1"/>
  <c r="R270" i="2"/>
  <c r="R681" i="5"/>
  <c r="R75" i="5"/>
  <c r="S75" i="5" s="1"/>
  <c r="R313" i="5"/>
  <c r="S313" i="5" s="1"/>
  <c r="R46" i="5"/>
  <c r="S46" i="5" s="1"/>
  <c r="T46" i="5" s="1"/>
  <c r="U46" i="5" s="1"/>
  <c r="R150" i="5"/>
  <c r="R798" i="5"/>
  <c r="R258" i="5"/>
  <c r="S258" i="5" s="1"/>
  <c r="R928" i="5"/>
  <c r="S928" i="5" s="1"/>
  <c r="R560" i="5"/>
  <c r="S560" i="5" s="1"/>
  <c r="R13" i="5"/>
  <c r="R382" i="5"/>
  <c r="R305" i="5"/>
  <c r="R972" i="5"/>
  <c r="S972" i="5" s="1"/>
  <c r="T972" i="5" s="1"/>
  <c r="U972" i="5" s="1"/>
  <c r="R1076" i="5"/>
  <c r="S1076" i="5" s="1"/>
  <c r="T1076" i="5" s="1"/>
  <c r="U1076" i="5" s="1"/>
  <c r="R904" i="5"/>
  <c r="S904" i="5" s="1"/>
  <c r="T904" i="5" s="1"/>
  <c r="U904" i="5" s="1"/>
  <c r="R256" i="5"/>
  <c r="S256" i="5" s="1"/>
  <c r="R205" i="5"/>
  <c r="S205" i="5" s="1"/>
  <c r="R245" i="5"/>
  <c r="R939" i="5"/>
  <c r="R822" i="5"/>
  <c r="R563" i="5"/>
  <c r="S563" i="5" s="1"/>
  <c r="R993" i="5"/>
  <c r="R844" i="5"/>
  <c r="S844" i="5" s="1"/>
  <c r="T844" i="5" s="1"/>
  <c r="U844" i="5" s="1"/>
  <c r="R954" i="5"/>
  <c r="S954" i="5" s="1"/>
  <c r="T954" i="5" s="1"/>
  <c r="U954" i="5" s="1"/>
  <c r="R455" i="5"/>
  <c r="S455" i="5" s="1"/>
  <c r="R1074" i="5"/>
  <c r="S1074" i="5" s="1"/>
  <c r="T1074" i="5" s="1"/>
  <c r="U1074" i="5" s="1"/>
  <c r="R611" i="5"/>
  <c r="S611" i="5" s="1"/>
  <c r="T611" i="5" s="1"/>
  <c r="U611" i="5" s="1"/>
  <c r="R680" i="5"/>
  <c r="S680" i="5" s="1"/>
  <c r="T680" i="5" s="1"/>
  <c r="U680" i="5" s="1"/>
  <c r="R1157" i="5"/>
  <c r="S1157" i="5" s="1"/>
  <c r="R1049" i="5"/>
  <c r="S1049" i="5" s="1"/>
  <c r="R324" i="5"/>
  <c r="R204" i="5"/>
  <c r="R901" i="5"/>
  <c r="S901" i="5" s="1"/>
  <c r="R831" i="5"/>
  <c r="S831" i="5" s="1"/>
  <c r="T831" i="5" s="1"/>
  <c r="U831" i="5" s="1"/>
  <c r="R910" i="5"/>
  <c r="S910" i="5" s="1"/>
  <c r="R188" i="5"/>
  <c r="S188" i="5" s="1"/>
  <c r="T188" i="5" s="1"/>
  <c r="U188" i="5" s="1"/>
  <c r="R851" i="5"/>
  <c r="R671" i="5"/>
  <c r="R466" i="5"/>
  <c r="R1037" i="5"/>
  <c r="S1037" i="5" s="1"/>
  <c r="R576" i="5"/>
  <c r="R1084" i="5"/>
  <c r="S1084" i="5" s="1"/>
  <c r="T1084" i="5" s="1"/>
  <c r="U1084" i="5" s="1"/>
  <c r="R89" i="5"/>
  <c r="S89" i="5" s="1"/>
  <c r="T89" i="5" s="1"/>
  <c r="U89" i="5" s="1"/>
  <c r="R1189" i="5"/>
  <c r="S1189" i="5" s="1"/>
  <c r="T1189" i="5" s="1"/>
  <c r="U1189" i="5" s="1"/>
  <c r="R1056" i="5"/>
  <c r="S1056" i="5" s="1"/>
  <c r="R192" i="5"/>
  <c r="R575" i="5"/>
  <c r="S575" i="5" s="1"/>
  <c r="R111" i="5"/>
  <c r="S111" i="5" s="1"/>
  <c r="R905" i="5"/>
  <c r="R916" i="5"/>
  <c r="S916" i="5" s="1"/>
  <c r="R860" i="5"/>
  <c r="S860" i="5" s="1"/>
  <c r="R969" i="5"/>
  <c r="S969" i="5" s="1"/>
  <c r="T969" i="5" s="1"/>
  <c r="U969" i="5" s="1"/>
  <c r="R984" i="5"/>
  <c r="S984" i="5" s="1"/>
  <c r="T984" i="5" s="1"/>
  <c r="U984" i="5" s="1"/>
  <c r="R858" i="5"/>
  <c r="S858" i="5" s="1"/>
  <c r="T858" i="5" s="1"/>
  <c r="U858" i="5" s="1"/>
  <c r="R549" i="5"/>
  <c r="S549" i="5" s="1"/>
  <c r="T549" i="5" s="1"/>
  <c r="U549" i="5" s="1"/>
  <c r="R520" i="5"/>
  <c r="S520" i="5" s="1"/>
  <c r="R154" i="5"/>
  <c r="S154" i="5" s="1"/>
  <c r="T154" i="5" s="1"/>
  <c r="U154" i="5" s="1"/>
  <c r="R522" i="5"/>
  <c r="R521" i="5"/>
  <c r="R1026" i="5"/>
  <c r="R332" i="5"/>
  <c r="S332" i="5" s="1"/>
  <c r="R949" i="5"/>
  <c r="S949" i="5" s="1"/>
  <c r="R1075" i="5"/>
  <c r="S1075" i="5" s="1"/>
  <c r="R286" i="5"/>
  <c r="S286" i="5" s="1"/>
  <c r="R357" i="5"/>
  <c r="R692" i="5"/>
  <c r="R602" i="5"/>
  <c r="S602" i="5" s="1"/>
  <c r="T602" i="5" s="1"/>
  <c r="U602" i="5" s="1"/>
  <c r="R231" i="5"/>
  <c r="S231" i="5" s="1"/>
  <c r="T231" i="5" s="1"/>
  <c r="U231" i="5" s="1"/>
  <c r="R73" i="5"/>
  <c r="R166" i="5"/>
  <c r="S166" i="5" s="1"/>
  <c r="T166" i="5" s="1"/>
  <c r="U166" i="5" s="1"/>
  <c r="R222" i="5"/>
  <c r="S222" i="5" s="1"/>
  <c r="R262" i="5"/>
  <c r="R552" i="5"/>
  <c r="S552" i="5" s="1"/>
  <c r="T552" i="5" s="1"/>
  <c r="U552" i="5" s="1"/>
  <c r="R1077" i="5"/>
  <c r="S1077" i="5" s="1"/>
  <c r="T1077" i="5" s="1"/>
  <c r="U1077" i="5" s="1"/>
  <c r="R329" i="5"/>
  <c r="R373" i="5"/>
  <c r="S373" i="5" s="1"/>
  <c r="R586" i="5"/>
  <c r="S586" i="5" s="1"/>
  <c r="T586" i="5" s="1"/>
  <c r="U586" i="5" s="1"/>
  <c r="R178" i="5"/>
  <c r="R1087" i="5"/>
  <c r="R508" i="5"/>
  <c r="R619" i="5"/>
  <c r="S619" i="5" s="1"/>
  <c r="T619" i="5" s="1"/>
  <c r="U619" i="5" s="1"/>
  <c r="R214" i="5"/>
  <c r="S214" i="5" s="1"/>
  <c r="R1016" i="5"/>
  <c r="S1016" i="5" s="1"/>
  <c r="T1016" i="5" s="1"/>
  <c r="U1016" i="5" s="1"/>
  <c r="R311" i="5"/>
  <c r="S311" i="5" s="1"/>
  <c r="R232" i="5"/>
  <c r="S232" i="5" s="1"/>
  <c r="R1070" i="5"/>
  <c r="S1070" i="5" s="1"/>
  <c r="T1070" i="5" s="1"/>
  <c r="U1070" i="5" s="1"/>
  <c r="R1104" i="5"/>
  <c r="R471" i="5"/>
  <c r="S471" i="5" s="1"/>
  <c r="R626" i="5"/>
  <c r="S626" i="5" s="1"/>
  <c r="R686" i="5"/>
  <c r="S686" i="5" s="1"/>
  <c r="T686" i="5" s="1"/>
  <c r="U686" i="5" s="1"/>
  <c r="R457" i="5"/>
  <c r="S457" i="5" s="1"/>
  <c r="R277" i="5"/>
  <c r="R1115" i="5"/>
  <c r="S1115" i="5" s="1"/>
  <c r="R1174" i="5"/>
  <c r="S1174" i="5" s="1"/>
  <c r="T1174" i="5" s="1"/>
  <c r="U1174" i="5" s="1"/>
  <c r="R1218" i="5"/>
  <c r="S1218" i="5" s="1"/>
  <c r="T1218" i="5" s="1"/>
  <c r="U1218" i="5" s="1"/>
  <c r="R1032" i="5"/>
  <c r="S1032" i="5" s="1"/>
  <c r="R255" i="5"/>
  <c r="S255" i="5" s="1"/>
  <c r="R389" i="5"/>
  <c r="R1164" i="5"/>
  <c r="R44" i="5"/>
  <c r="S44" i="5" s="1"/>
  <c r="T44" i="5" s="1"/>
  <c r="U44" i="5" s="1"/>
  <c r="R557" i="5"/>
  <c r="R603" i="5"/>
  <c r="S603" i="5" s="1"/>
  <c r="T603" i="5" s="1"/>
  <c r="U603" i="5" s="1"/>
  <c r="R169" i="5"/>
  <c r="S169" i="5" s="1"/>
  <c r="T169" i="5" s="1"/>
  <c r="U169" i="5" s="1"/>
  <c r="R346" i="5"/>
  <c r="S346" i="5" s="1"/>
  <c r="T346" i="5" s="1"/>
  <c r="U346" i="5" s="1"/>
  <c r="R159" i="5"/>
  <c r="S159" i="5" s="1"/>
  <c r="R510" i="5"/>
  <c r="R378" i="5"/>
  <c r="R62" i="5"/>
  <c r="S62" i="5" s="1"/>
  <c r="T62" i="5" s="1"/>
  <c r="U62" i="5" s="1"/>
  <c r="R1120" i="5"/>
  <c r="S1120" i="5" s="1"/>
  <c r="R642" i="5"/>
  <c r="S642" i="5" s="1"/>
  <c r="T642" i="5" s="1"/>
  <c r="U642" i="5" s="1"/>
  <c r="R702" i="5"/>
  <c r="R497" i="5"/>
  <c r="R566" i="5"/>
  <c r="S566" i="5" s="1"/>
  <c r="R51" i="5"/>
  <c r="S51" i="5" s="1"/>
  <c r="R517" i="5"/>
  <c r="S517" i="5" s="1"/>
  <c r="T517" i="5" s="1"/>
  <c r="U517" i="5" s="1"/>
  <c r="R449" i="5"/>
  <c r="S449" i="5" s="1"/>
  <c r="R1057" i="5"/>
  <c r="R1106" i="5"/>
  <c r="S1106" i="5" s="1"/>
  <c r="T1106" i="5" s="1"/>
  <c r="U1106" i="5" s="1"/>
  <c r="R648" i="5"/>
  <c r="R703" i="5"/>
  <c r="S703" i="5" s="1"/>
  <c r="T703" i="5" s="1"/>
  <c r="U703" i="5" s="1"/>
  <c r="R473" i="5"/>
  <c r="R248" i="5"/>
  <c r="R693" i="5"/>
  <c r="S693" i="5" s="1"/>
  <c r="T693" i="5" s="1"/>
  <c r="U693" i="5" s="1"/>
  <c r="R503" i="5"/>
  <c r="S503" i="5" s="1"/>
  <c r="T503" i="5" s="1"/>
  <c r="U503" i="5" s="1"/>
  <c r="R149" i="5"/>
  <c r="R434" i="5"/>
  <c r="S434" i="5" s="1"/>
  <c r="T434" i="5" s="1"/>
  <c r="U434" i="5" s="1"/>
  <c r="R474" i="5"/>
  <c r="R431" i="5"/>
  <c r="S431" i="5" s="1"/>
  <c r="R226" i="5"/>
  <c r="S226" i="5" s="1"/>
  <c r="R109" i="5"/>
  <c r="S109" i="5" s="1"/>
  <c r="R581" i="5"/>
  <c r="S581" i="5" s="1"/>
  <c r="T581" i="5" s="1"/>
  <c r="U581" i="5" s="1"/>
  <c r="R376" i="5"/>
  <c r="S376" i="5" s="1"/>
  <c r="T376" i="5" s="1"/>
  <c r="U376" i="5" s="1"/>
  <c r="R1110" i="5"/>
  <c r="S1110" i="5" s="1"/>
  <c r="R1256" i="5"/>
  <c r="R215" i="5"/>
  <c r="S215" i="5" s="1"/>
  <c r="T215" i="5" s="1"/>
  <c r="U215" i="5" s="1"/>
  <c r="R1068" i="5"/>
  <c r="S1068" i="5" s="1"/>
  <c r="R259" i="5"/>
  <c r="R325" i="5"/>
  <c r="S325" i="5" s="1"/>
  <c r="T325" i="5" s="1"/>
  <c r="U325" i="5" s="1"/>
  <c r="R577" i="5"/>
  <c r="S577" i="5" s="1"/>
  <c r="R1233" i="5"/>
  <c r="S1233" i="5" s="1"/>
  <c r="R683" i="5"/>
  <c r="R657" i="5"/>
  <c r="S657" i="5" s="1"/>
  <c r="T657" i="5" s="1"/>
  <c r="U657" i="5" s="1"/>
  <c r="R359" i="5"/>
  <c r="S359" i="5" s="1"/>
  <c r="T359" i="5" s="1"/>
  <c r="U359" i="5" s="1"/>
  <c r="R141" i="5"/>
  <c r="S141" i="5" s="1"/>
  <c r="T141" i="5" s="1"/>
  <c r="U141" i="5" s="1"/>
  <c r="R20" i="5"/>
  <c r="S20" i="5" s="1"/>
  <c r="T20" i="5" s="1"/>
  <c r="U20" i="5" s="1"/>
  <c r="R370" i="5"/>
  <c r="S370" i="5" s="1"/>
  <c r="R175" i="5"/>
  <c r="S175" i="5" s="1"/>
  <c r="R65" i="5"/>
  <c r="S65" i="5" s="1"/>
  <c r="T65" i="5" s="1"/>
  <c r="U65" i="5" s="1"/>
  <c r="R270" i="5"/>
  <c r="S270" i="5" s="1"/>
  <c r="T270" i="5" s="1"/>
  <c r="U270" i="5" s="1"/>
  <c r="R1198" i="5"/>
  <c r="S1198" i="5" s="1"/>
  <c r="T1198" i="5" s="1"/>
  <c r="U1198" i="5" s="1"/>
  <c r="R90" i="5"/>
  <c r="S90" i="5" s="1"/>
  <c r="T90" i="5" s="1"/>
  <c r="U90" i="5" s="1"/>
  <c r="R1063" i="5"/>
  <c r="S1063" i="5" s="1"/>
  <c r="T1063" i="5" s="1"/>
  <c r="U1063" i="5" s="1"/>
  <c r="R253" i="5"/>
  <c r="S253" i="5" s="1"/>
  <c r="T253" i="5" s="1"/>
  <c r="U253" i="5" s="1"/>
  <c r="R299" i="5"/>
  <c r="S299" i="5" s="1"/>
  <c r="T299" i="5" s="1"/>
  <c r="U299" i="5" s="1"/>
  <c r="R123" i="5"/>
  <c r="S123" i="5" s="1"/>
  <c r="R660" i="5"/>
  <c r="R1210" i="5"/>
  <c r="S1210" i="5" s="1"/>
  <c r="T1210" i="5" s="1"/>
  <c r="U1210" i="5" s="1"/>
  <c r="R653" i="5"/>
  <c r="R350" i="5"/>
  <c r="S350" i="5" s="1"/>
  <c r="T350" i="5" s="1"/>
  <c r="U350" i="5" s="1"/>
  <c r="R176" i="5"/>
  <c r="S176" i="5" s="1"/>
  <c r="R479" i="5"/>
  <c r="S479" i="5" s="1"/>
  <c r="R264" i="5"/>
  <c r="S264" i="5" s="1"/>
  <c r="T264" i="5" s="1"/>
  <c r="U264" i="5" s="1"/>
  <c r="R555" i="5"/>
  <c r="R1065" i="5"/>
  <c r="R301" i="5"/>
  <c r="R1221" i="5"/>
  <c r="S1221" i="5" s="1"/>
  <c r="R678" i="5"/>
  <c r="S678" i="5" s="1"/>
  <c r="T678" i="5" s="1"/>
  <c r="U678" i="5" s="1"/>
  <c r="R278" i="5"/>
  <c r="S278" i="5" s="1"/>
  <c r="R274" i="5"/>
  <c r="S274" i="5" s="1"/>
  <c r="T274" i="5" s="1"/>
  <c r="U274" i="5" s="1"/>
  <c r="R734" i="5"/>
  <c r="R354" i="5"/>
  <c r="S354" i="5" s="1"/>
  <c r="R168" i="5"/>
  <c r="S168" i="5" s="1"/>
  <c r="R713" i="5"/>
  <c r="S713" i="5" s="1"/>
  <c r="R482" i="5"/>
  <c r="S482" i="5" s="1"/>
  <c r="T482" i="5" s="1"/>
  <c r="U482" i="5" s="1"/>
  <c r="R652" i="5"/>
  <c r="S652" i="5" s="1"/>
  <c r="R428" i="5"/>
  <c r="S428" i="5" s="1"/>
  <c r="T428" i="5" s="1"/>
  <c r="U428" i="5" s="1"/>
  <c r="S190" i="2"/>
  <c r="T190" i="2" s="1"/>
  <c r="U190" i="2" s="1"/>
  <c r="R689" i="5"/>
  <c r="S689" i="5" s="1"/>
  <c r="T689" i="5" s="1"/>
  <c r="U689" i="5" s="1"/>
  <c r="R654" i="5"/>
  <c r="S654" i="5" s="1"/>
  <c r="R618" i="5"/>
  <c r="S618" i="5" s="1"/>
  <c r="T618" i="5" s="1"/>
  <c r="U618" i="5" s="1"/>
  <c r="R468" i="5"/>
  <c r="S468" i="5" s="1"/>
  <c r="T468" i="5" s="1"/>
  <c r="U468" i="5" s="1"/>
  <c r="R15" i="5"/>
  <c r="S15" i="5" s="1"/>
  <c r="T15" i="5" s="1"/>
  <c r="U15" i="5" s="1"/>
  <c r="R97" i="5"/>
  <c r="S97" i="5" s="1"/>
  <c r="R456" i="5"/>
  <c r="S456" i="5" s="1"/>
  <c r="R1052" i="5"/>
  <c r="S1052" i="5" s="1"/>
  <c r="T1052" i="5" s="1"/>
  <c r="U1052" i="5" s="1"/>
  <c r="R1135" i="5"/>
  <c r="S1135" i="5" s="1"/>
  <c r="R961" i="5"/>
  <c r="R1079" i="5"/>
  <c r="S1079" i="5" s="1"/>
  <c r="T1079" i="5" s="1"/>
  <c r="U1079" i="5" s="1"/>
  <c r="R290" i="5"/>
  <c r="S290" i="5" s="1"/>
  <c r="T290" i="5" s="1"/>
  <c r="U290" i="5" s="1"/>
  <c r="R572" i="5"/>
  <c r="R717" i="5"/>
  <c r="S717" i="5" s="1"/>
  <c r="T717" i="5" s="1"/>
  <c r="U717" i="5" s="1"/>
  <c r="R484" i="5"/>
  <c r="S484" i="5" s="1"/>
  <c r="T484" i="5" s="1"/>
  <c r="U484" i="5" s="1"/>
  <c r="R94" i="5"/>
  <c r="R1033" i="5"/>
  <c r="S1033" i="5" s="1"/>
  <c r="T1033" i="5" s="1"/>
  <c r="U1033" i="5" s="1"/>
  <c r="R1119" i="5"/>
  <c r="S1119" i="5" s="1"/>
  <c r="T1119" i="5" s="1"/>
  <c r="U1119" i="5" s="1"/>
  <c r="R700" i="5"/>
  <c r="R227" i="5"/>
  <c r="S227" i="5" s="1"/>
  <c r="R158" i="5"/>
  <c r="R518" i="5"/>
  <c r="S518" i="5" s="1"/>
  <c r="R641" i="5"/>
  <c r="S641" i="5" s="1"/>
  <c r="R565" i="5"/>
  <c r="S565" i="5" s="1"/>
  <c r="T565" i="5" s="1"/>
  <c r="U565" i="5" s="1"/>
  <c r="R42" i="5"/>
  <c r="S42" i="5" s="1"/>
  <c r="R367" i="5"/>
  <c r="S367" i="5" s="1"/>
  <c r="R425" i="5"/>
  <c r="S425" i="5" s="1"/>
  <c r="T425" i="5" s="1"/>
  <c r="U425" i="5" s="1"/>
  <c r="R103" i="5"/>
  <c r="S103" i="5" s="1"/>
  <c r="T103" i="5" s="1"/>
  <c r="U103" i="5" s="1"/>
  <c r="T451" i="5"/>
  <c r="U451" i="5" s="1"/>
  <c r="T465" i="2"/>
  <c r="U465" i="2" s="1"/>
  <c r="O5" i="8"/>
  <c r="R452" i="2" s="1"/>
  <c r="S452" i="2" s="1"/>
  <c r="T452" i="2" s="1"/>
  <c r="U452" i="2" s="1"/>
  <c r="T201" i="2"/>
  <c r="U201" i="2" s="1"/>
  <c r="R141" i="2"/>
  <c r="S141" i="2" s="1"/>
  <c r="T141" i="2" s="1"/>
  <c r="U141" i="2" s="1"/>
  <c r="T52" i="2"/>
  <c r="U52" i="2" s="1"/>
  <c r="R242" i="2"/>
  <c r="S242" i="2" s="1"/>
  <c r="T242" i="2" s="1"/>
  <c r="U242" i="2" s="1"/>
  <c r="R439" i="2"/>
  <c r="S439" i="2" s="1"/>
  <c r="T439" i="2" s="1"/>
  <c r="U439" i="2" s="1"/>
  <c r="R1230" i="5"/>
  <c r="S1230" i="5" s="1"/>
  <c r="T1230" i="5" s="1"/>
  <c r="U1230" i="5" s="1"/>
  <c r="R161" i="5"/>
  <c r="S161" i="5" s="1"/>
  <c r="R494" i="5"/>
  <c r="R1246" i="5"/>
  <c r="S1246" i="5" s="1"/>
  <c r="T1246" i="5" s="1"/>
  <c r="U1246" i="5" s="1"/>
  <c r="R257" i="5"/>
  <c r="R146" i="5"/>
  <c r="S146" i="5" s="1"/>
  <c r="T146" i="5" s="1"/>
  <c r="U146" i="5" s="1"/>
  <c r="R638" i="5"/>
  <c r="S638" i="5" s="1"/>
  <c r="T638" i="5" s="1"/>
  <c r="U638" i="5" s="1"/>
  <c r="R570" i="5"/>
  <c r="S570" i="5" s="1"/>
  <c r="T570" i="5" s="1"/>
  <c r="U570" i="5" s="1"/>
  <c r="R364" i="5"/>
  <c r="R162" i="5"/>
  <c r="R386" i="5"/>
  <c r="R1163" i="5"/>
  <c r="S1163" i="5" s="1"/>
  <c r="T1163" i="5" s="1"/>
  <c r="U1163" i="5" s="1"/>
  <c r="R715" i="5"/>
  <c r="S715" i="5" s="1"/>
  <c r="T715" i="5" s="1"/>
  <c r="U715" i="5" s="1"/>
  <c r="R50" i="5"/>
  <c r="S50" i="5" s="1"/>
  <c r="R477" i="5"/>
  <c r="S477" i="5" s="1"/>
  <c r="T477" i="5" s="1"/>
  <c r="U477" i="5" s="1"/>
  <c r="R634" i="5"/>
  <c r="R224" i="5"/>
  <c r="S224" i="5" s="1"/>
  <c r="R1137" i="5"/>
  <c r="S1137" i="5" s="1"/>
  <c r="R992" i="5"/>
  <c r="D12" i="12"/>
  <c r="T64" i="2"/>
  <c r="U64" i="2" s="1"/>
  <c r="R196" i="2"/>
  <c r="R44" i="2"/>
  <c r="R80" i="2"/>
  <c r="S80" i="2" s="1"/>
  <c r="T80" i="2" s="1"/>
  <c r="U80" i="2" s="1"/>
  <c r="T539" i="5"/>
  <c r="U539" i="5" s="1"/>
  <c r="T113" i="5"/>
  <c r="U113" i="5" s="1"/>
  <c r="T1195" i="5"/>
  <c r="U1195" i="5" s="1"/>
  <c r="M340" i="2"/>
  <c r="R340" i="2" s="1"/>
  <c r="S340" i="2" s="1"/>
  <c r="P339" i="2"/>
  <c r="Q339" i="2" s="1"/>
  <c r="R339" i="2" s="1"/>
  <c r="S339" i="2" s="1"/>
  <c r="T339" i="2" s="1"/>
  <c r="U339" i="2" s="1"/>
  <c r="T193" i="5"/>
  <c r="U193" i="5" s="1"/>
  <c r="T1177" i="5"/>
  <c r="U1177" i="5" s="1"/>
  <c r="R490" i="5"/>
  <c r="S490" i="5" s="1"/>
  <c r="R99" i="5"/>
  <c r="S99" i="5" s="1"/>
  <c r="R385" i="5"/>
  <c r="S385" i="5" s="1"/>
  <c r="T385" i="5" s="1"/>
  <c r="U385" i="5" s="1"/>
  <c r="R1055" i="5"/>
  <c r="S1055" i="5" s="1"/>
  <c r="R453" i="5"/>
  <c r="S453" i="5" s="1"/>
  <c r="R1017" i="5"/>
  <c r="S1017" i="5" s="1"/>
  <c r="T1017" i="5" s="1"/>
  <c r="U1017" i="5" s="1"/>
  <c r="R1081" i="5"/>
  <c r="S1081" i="5" s="1"/>
  <c r="T1081" i="5" s="1"/>
  <c r="U1081" i="5" s="1"/>
  <c r="R321" i="5"/>
  <c r="S321" i="5" s="1"/>
  <c r="T321" i="5" s="1"/>
  <c r="U321" i="5" s="1"/>
  <c r="R571" i="5"/>
  <c r="R667" i="5"/>
  <c r="S667" i="5" s="1"/>
  <c r="R716" i="5"/>
  <c r="S716" i="5" s="1"/>
  <c r="T716" i="5" s="1"/>
  <c r="U716" i="5" s="1"/>
  <c r="R355" i="5"/>
  <c r="S355" i="5" s="1"/>
  <c r="T355" i="5" s="1"/>
  <c r="U355" i="5" s="1"/>
  <c r="R160" i="5"/>
  <c r="S160" i="5" s="1"/>
  <c r="T160" i="5" s="1"/>
  <c r="U160" i="5" s="1"/>
  <c r="R48" i="5"/>
  <c r="S48" i="5" s="1"/>
  <c r="R165" i="5"/>
  <c r="R38" i="5"/>
  <c r="S38" i="5" s="1"/>
  <c r="T38" i="5" s="1"/>
  <c r="U38" i="5" s="1"/>
  <c r="R375" i="5"/>
  <c r="S375" i="5" s="1"/>
  <c r="T375" i="5" s="1"/>
  <c r="U375" i="5" s="1"/>
  <c r="R101" i="5"/>
  <c r="S101" i="5" s="1"/>
  <c r="R147" i="5"/>
  <c r="R95" i="5"/>
  <c r="S95" i="5" s="1"/>
  <c r="T95" i="5" s="1"/>
  <c r="U95" i="5" s="1"/>
  <c r="R640" i="5"/>
  <c r="S640" i="5" s="1"/>
  <c r="T640" i="5" s="1"/>
  <c r="U640" i="5" s="1"/>
  <c r="R1205" i="5"/>
  <c r="S1205" i="5" s="1"/>
  <c r="R1206" i="5"/>
  <c r="S1206" i="5" s="1"/>
  <c r="R213" i="5"/>
  <c r="R164" i="5"/>
  <c r="S164" i="5" s="1"/>
  <c r="T164" i="5" s="1"/>
  <c r="U164" i="5" s="1"/>
  <c r="R500" i="5"/>
  <c r="S500" i="5" s="1"/>
  <c r="T500" i="5" s="1"/>
  <c r="U500" i="5" s="1"/>
  <c r="R369" i="5"/>
  <c r="R519" i="5"/>
  <c r="S519" i="5" s="1"/>
  <c r="T519" i="5" s="1"/>
  <c r="U519" i="5" s="1"/>
  <c r="R695" i="5"/>
  <c r="R1216" i="5"/>
  <c r="S1216" i="5" s="1"/>
  <c r="R495" i="5"/>
  <c r="S495" i="5" s="1"/>
  <c r="T495" i="5" s="1"/>
  <c r="U495" i="5" s="1"/>
  <c r="R356" i="5"/>
  <c r="S356" i="5" s="1"/>
  <c r="T356" i="5" s="1"/>
  <c r="U356" i="5" s="1"/>
  <c r="R513" i="5"/>
  <c r="S513" i="5" s="1"/>
  <c r="T513" i="5" s="1"/>
  <c r="U513" i="5" s="1"/>
  <c r="R393" i="5"/>
  <c r="S393" i="5" s="1"/>
  <c r="R1186" i="5"/>
  <c r="S1186" i="5" s="1"/>
  <c r="T1186" i="5" s="1"/>
  <c r="U1186" i="5" s="1"/>
  <c r="R408" i="5"/>
  <c r="S408" i="5" s="1"/>
  <c r="R1044" i="5"/>
  <c r="S1044" i="5" s="1"/>
  <c r="R903" i="5"/>
  <c r="S903" i="5" s="1"/>
  <c r="T903" i="5" s="1"/>
  <c r="U903" i="5" s="1"/>
  <c r="R1098" i="5"/>
  <c r="S1098" i="5" s="1"/>
  <c r="R536" i="5"/>
  <c r="S536" i="5" s="1"/>
  <c r="T536" i="5" s="1"/>
  <c r="U536" i="5" s="1"/>
  <c r="R609" i="5"/>
  <c r="S609" i="5" s="1"/>
  <c r="T609" i="5" s="1"/>
  <c r="U609" i="5" s="1"/>
  <c r="R1005" i="5"/>
  <c r="S1005" i="5" s="1"/>
  <c r="T1005" i="5" s="1"/>
  <c r="U1005" i="5" s="1"/>
  <c r="R1165" i="5"/>
  <c r="S1165" i="5" s="1"/>
  <c r="R198" i="5"/>
  <c r="S198" i="5" s="1"/>
  <c r="R167" i="5"/>
  <c r="S167" i="5" s="1"/>
  <c r="T167" i="5" s="1"/>
  <c r="U167" i="5" s="1"/>
  <c r="R582" i="5"/>
  <c r="S582" i="5" s="1"/>
  <c r="T582" i="5" s="1"/>
  <c r="U582" i="5" s="1"/>
  <c r="R430" i="5"/>
  <c r="S430" i="5" s="1"/>
  <c r="T430" i="5" s="1"/>
  <c r="U430" i="5" s="1"/>
  <c r="R1179" i="5"/>
  <c r="S1179" i="5" s="1"/>
  <c r="R406" i="5"/>
  <c r="S406" i="5" s="1"/>
  <c r="T406" i="5" s="1"/>
  <c r="U406" i="5" s="1"/>
  <c r="R241" i="5"/>
  <c r="S241" i="5" s="1"/>
  <c r="T241" i="5" s="1"/>
  <c r="U241" i="5" s="1"/>
  <c r="R803" i="5"/>
  <c r="S803" i="5" s="1"/>
  <c r="T803" i="5" s="1"/>
  <c r="U803" i="5" s="1"/>
  <c r="R886" i="5"/>
  <c r="S886" i="5" s="1"/>
  <c r="T886" i="5" s="1"/>
  <c r="U886" i="5" s="1"/>
  <c r="R315" i="5"/>
  <c r="S315" i="5" s="1"/>
  <c r="R420" i="5"/>
  <c r="S420" i="5" s="1"/>
  <c r="R246" i="2"/>
  <c r="S246" i="2" s="1"/>
  <c r="R405" i="5"/>
  <c r="R587" i="5"/>
  <c r="S587" i="5" s="1"/>
  <c r="T587" i="5" s="1"/>
  <c r="U587" i="5" s="1"/>
  <c r="R631" i="5"/>
  <c r="R643" i="5"/>
  <c r="S643" i="5" s="1"/>
  <c r="T643" i="5" s="1"/>
  <c r="U643" i="5" s="1"/>
  <c r="R512" i="5"/>
  <c r="R353" i="5"/>
  <c r="R371" i="5"/>
  <c r="S371" i="5" s="1"/>
  <c r="T371" i="5" s="1"/>
  <c r="U371" i="5" s="1"/>
  <c r="R1024" i="5"/>
  <c r="S1024" i="5" s="1"/>
  <c r="R330" i="5"/>
  <c r="S330" i="5" s="1"/>
  <c r="T330" i="5" s="1"/>
  <c r="U330" i="5" s="1"/>
  <c r="R957" i="5"/>
  <c r="S957" i="5" s="1"/>
  <c r="T957" i="5" s="1"/>
  <c r="U957" i="5" s="1"/>
  <c r="R249" i="5"/>
  <c r="R282" i="5"/>
  <c r="S282" i="5" s="1"/>
  <c r="T282" i="5" s="1"/>
  <c r="U282" i="5" s="1"/>
  <c r="R489" i="5"/>
  <c r="R1217" i="5"/>
  <c r="R623" i="5"/>
  <c r="R347" i="5"/>
  <c r="S347" i="5" s="1"/>
  <c r="R14" i="5"/>
  <c r="S14" i="5" s="1"/>
  <c r="T14" i="5" s="1"/>
  <c r="U14" i="5" s="1"/>
  <c r="R583" i="5"/>
  <c r="S583" i="5" s="1"/>
  <c r="T583" i="5" s="1"/>
  <c r="U583" i="5" s="1"/>
  <c r="R119" i="5"/>
  <c r="S119" i="5" s="1"/>
  <c r="T119" i="5" s="1"/>
  <c r="U119" i="5" s="1"/>
  <c r="R981" i="5"/>
  <c r="S981" i="5" s="1"/>
  <c r="T981" i="5" s="1"/>
  <c r="U981" i="5" s="1"/>
  <c r="R360" i="5"/>
  <c r="R72" i="5"/>
  <c r="S72" i="5" s="1"/>
  <c r="R187" i="5"/>
  <c r="S187" i="5" s="1"/>
  <c r="T187" i="5" s="1"/>
  <c r="U187" i="5" s="1"/>
  <c r="R394" i="5"/>
  <c r="S394" i="5" s="1"/>
  <c r="T394" i="5" s="1"/>
  <c r="U394" i="5" s="1"/>
  <c r="R514" i="5"/>
  <c r="R625" i="5"/>
  <c r="S625" i="5" s="1"/>
  <c r="R699" i="5"/>
  <c r="S699" i="5" s="1"/>
  <c r="T699" i="5" s="1"/>
  <c r="U699" i="5" s="1"/>
  <c r="R1004" i="5"/>
  <c r="R16" i="5"/>
  <c r="S16" i="5" s="1"/>
  <c r="T16" i="5" s="1"/>
  <c r="U16" i="5" s="1"/>
  <c r="R390" i="5"/>
  <c r="S390" i="5" s="1"/>
  <c r="T390" i="5" s="1"/>
  <c r="U390" i="5" s="1"/>
  <c r="R181" i="5"/>
  <c r="R387" i="5"/>
  <c r="S387" i="5" s="1"/>
  <c r="T387" i="5" s="1"/>
  <c r="U387" i="5" s="1"/>
  <c r="R637" i="5"/>
  <c r="S637" i="5" s="1"/>
  <c r="R1234" i="5"/>
  <c r="S1234" i="5" s="1"/>
  <c r="R476" i="5"/>
  <c r="S476" i="5" s="1"/>
  <c r="R189" i="5"/>
  <c r="R170" i="5"/>
  <c r="R180" i="5"/>
  <c r="R1215" i="5"/>
  <c r="S1215" i="5" s="1"/>
  <c r="T1215" i="5" s="1"/>
  <c r="U1215" i="5" s="1"/>
  <c r="R414" i="5"/>
  <c r="S414" i="5" s="1"/>
  <c r="T414" i="5" s="1"/>
  <c r="U414" i="5" s="1"/>
  <c r="R1133" i="5"/>
  <c r="S1133" i="5" s="1"/>
  <c r="R894" i="5"/>
  <c r="S894" i="5" s="1"/>
  <c r="R818" i="5"/>
  <c r="S818" i="5" s="1"/>
  <c r="R1227" i="5"/>
  <c r="R439" i="5"/>
  <c r="S439" i="5" s="1"/>
  <c r="R908" i="5"/>
  <c r="T28" i="5"/>
  <c r="U28" i="5" s="1"/>
  <c r="R194" i="5"/>
  <c r="S194" i="5" s="1"/>
  <c r="T194" i="5" s="1"/>
  <c r="U194" i="5" s="1"/>
  <c r="R228" i="2"/>
  <c r="S228" i="2" s="1"/>
  <c r="S176" i="2"/>
  <c r="T176" i="2" s="1"/>
  <c r="U176" i="2" s="1"/>
  <c r="R304" i="5"/>
  <c r="S304" i="5" s="1"/>
  <c r="R1009" i="5"/>
  <c r="S1009" i="5" s="1"/>
  <c r="R440" i="5"/>
  <c r="S440" i="5" s="1"/>
  <c r="T440" i="5" s="1"/>
  <c r="U440" i="5" s="1"/>
  <c r="R846" i="5"/>
  <c r="S846" i="5" s="1"/>
  <c r="T846" i="5" s="1"/>
  <c r="U846" i="5" s="1"/>
  <c r="R328" i="5"/>
  <c r="R604" i="5"/>
  <c r="R84" i="5"/>
  <c r="S84" i="5" s="1"/>
  <c r="R857" i="5"/>
  <c r="S857" i="5" s="1"/>
  <c r="T857" i="5" s="1"/>
  <c r="U857" i="5" s="1"/>
  <c r="R943" i="5"/>
  <c r="S943" i="5" s="1"/>
  <c r="T943" i="5" s="1"/>
  <c r="U943" i="5" s="1"/>
  <c r="R1007" i="5"/>
  <c r="S1007" i="5" s="1"/>
  <c r="T1007" i="5" s="1"/>
  <c r="U1007" i="5" s="1"/>
  <c r="R1127" i="5"/>
  <c r="R1147" i="5"/>
  <c r="S1147" i="5" s="1"/>
  <c r="R415" i="5"/>
  <c r="S415" i="5" s="1"/>
  <c r="T415" i="5" s="1"/>
  <c r="U415" i="5" s="1"/>
  <c r="R1180" i="5"/>
  <c r="S1180" i="5" s="1"/>
  <c r="T1180" i="5" s="1"/>
  <c r="U1180" i="5" s="1"/>
  <c r="R1223" i="5"/>
  <c r="S1223" i="5" s="1"/>
  <c r="R437" i="5"/>
  <c r="R504" i="5"/>
  <c r="S504" i="5" s="1"/>
  <c r="T504" i="5" s="1"/>
  <c r="U504" i="5" s="1"/>
  <c r="R126" i="5"/>
  <c r="S126" i="5" s="1"/>
  <c r="T126" i="5" s="1"/>
  <c r="U126" i="5" s="1"/>
  <c r="R567" i="5"/>
  <c r="S567" i="5" s="1"/>
  <c r="R41" i="5"/>
  <c r="S41" i="5" s="1"/>
  <c r="R18" i="5"/>
  <c r="S18" i="5" s="1"/>
  <c r="R488" i="5"/>
  <c r="R646" i="5"/>
  <c r="S646" i="5" s="1"/>
  <c r="R721" i="5"/>
  <c r="S721" i="5" s="1"/>
  <c r="R1225" i="5"/>
  <c r="R345" i="5"/>
  <c r="S345" i="5" s="1"/>
  <c r="R145" i="5"/>
  <c r="S145" i="5" s="1"/>
  <c r="T145" i="5" s="1"/>
  <c r="U145" i="5" s="1"/>
  <c r="R505" i="5"/>
  <c r="S505" i="5" s="1"/>
  <c r="T505" i="5" s="1"/>
  <c r="U505" i="5" s="1"/>
  <c r="R569" i="5"/>
  <c r="R61" i="5"/>
  <c r="R221" i="5"/>
  <c r="S221" i="5" s="1"/>
  <c r="T221" i="5" s="1"/>
  <c r="U221" i="5" s="1"/>
  <c r="R635" i="5"/>
  <c r="S635" i="5" s="1"/>
  <c r="R666" i="5"/>
  <c r="S666" i="5" s="1"/>
  <c r="T666" i="5" s="1"/>
  <c r="U666" i="5" s="1"/>
  <c r="R701" i="5"/>
  <c r="R429" i="5"/>
  <c r="R132" i="5"/>
  <c r="R358" i="5"/>
  <c r="R127" i="5"/>
  <c r="S127" i="5" s="1"/>
  <c r="T127" i="5" s="1"/>
  <c r="U127" i="5" s="1"/>
  <c r="R460" i="5"/>
  <c r="R116" i="5"/>
  <c r="R135" i="5"/>
  <c r="S135" i="5" s="1"/>
  <c r="T135" i="5" s="1"/>
  <c r="U135" i="5" s="1"/>
  <c r="R17" i="5"/>
  <c r="R564" i="5"/>
  <c r="S564" i="5" s="1"/>
  <c r="T564" i="5" s="1"/>
  <c r="U564" i="5" s="1"/>
  <c r="R100" i="5"/>
  <c r="R483" i="5"/>
  <c r="R719" i="5"/>
  <c r="R1228" i="5"/>
  <c r="S1228" i="5" s="1"/>
  <c r="T1228" i="5" s="1"/>
  <c r="U1228" i="5" s="1"/>
  <c r="R627" i="5"/>
  <c r="S627" i="5" s="1"/>
  <c r="T627" i="5" s="1"/>
  <c r="U627" i="5" s="1"/>
  <c r="R645" i="5"/>
  <c r="S645" i="5" s="1"/>
  <c r="T645" i="5" s="1"/>
  <c r="U645" i="5" s="1"/>
  <c r="R363" i="5"/>
  <c r="R293" i="5"/>
  <c r="S293" i="5" s="1"/>
  <c r="R1089" i="5"/>
  <c r="R1059" i="5"/>
  <c r="S1059" i="5" s="1"/>
  <c r="T1059" i="5" s="1"/>
  <c r="U1059" i="5" s="1"/>
  <c r="R971" i="5"/>
  <c r="S971" i="5" s="1"/>
  <c r="T971" i="5" s="1"/>
  <c r="U971" i="5" s="1"/>
  <c r="R1190" i="5"/>
  <c r="S1190" i="5" s="1"/>
  <c r="T1190" i="5" s="1"/>
  <c r="U1190" i="5" s="1"/>
  <c r="R266" i="5"/>
  <c r="S266" i="5" s="1"/>
  <c r="T266" i="5" s="1"/>
  <c r="U266" i="5" s="1"/>
  <c r="R64" i="5"/>
  <c r="R374" i="5"/>
  <c r="R144" i="5"/>
  <c r="S144" i="5" s="1"/>
  <c r="T144" i="5" s="1"/>
  <c r="U144" i="5" s="1"/>
  <c r="R469" i="5"/>
  <c r="S469" i="5" s="1"/>
  <c r="T469" i="5" s="1"/>
  <c r="U469" i="5" s="1"/>
  <c r="R351" i="5"/>
  <c r="S351" i="5" s="1"/>
  <c r="T351" i="5" s="1"/>
  <c r="U351" i="5" s="1"/>
  <c r="R720" i="5"/>
  <c r="R698" i="5"/>
  <c r="R613" i="5"/>
  <c r="S613" i="5" s="1"/>
  <c r="R491" i="5"/>
  <c r="S491" i="5" s="1"/>
  <c r="T491" i="5" s="1"/>
  <c r="U491" i="5" s="1"/>
  <c r="R1173" i="5"/>
  <c r="R272" i="5"/>
  <c r="S272" i="5" s="1"/>
  <c r="T272" i="5" s="1"/>
  <c r="U272" i="5" s="1"/>
  <c r="R1072" i="5"/>
  <c r="R966" i="5"/>
  <c r="R1260" i="5"/>
  <c r="R1113" i="5"/>
  <c r="S1113" i="5" s="1"/>
  <c r="T1113" i="5" s="1"/>
  <c r="U1113" i="5" s="1"/>
  <c r="R1022" i="5"/>
  <c r="S1022" i="5" s="1"/>
  <c r="T1022" i="5" s="1"/>
  <c r="U1022" i="5" s="1"/>
  <c r="R501" i="5"/>
  <c r="S501" i="5" s="1"/>
  <c r="R662" i="5"/>
  <c r="S662" i="5" s="1"/>
  <c r="T662" i="5" s="1"/>
  <c r="U662" i="5" s="1"/>
  <c r="R682" i="5"/>
  <c r="S682" i="5" s="1"/>
  <c r="R197" i="5"/>
  <c r="S197" i="5" s="1"/>
  <c r="T197" i="5" s="1"/>
  <c r="U197" i="5" s="1"/>
  <c r="R66" i="5"/>
  <c r="S66" i="5" s="1"/>
  <c r="R464" i="5"/>
  <c r="S464" i="5" s="1"/>
  <c r="T464" i="5" s="1"/>
  <c r="U464" i="5" s="1"/>
  <c r="R171" i="5"/>
  <c r="S171" i="5" s="1"/>
  <c r="R435" i="5"/>
  <c r="S435" i="5" s="1"/>
  <c r="R1188" i="5"/>
  <c r="R423" i="5"/>
  <c r="S423" i="5" s="1"/>
  <c r="T423" i="5" s="1"/>
  <c r="U423" i="5" s="1"/>
  <c r="R1145" i="5"/>
  <c r="S1145" i="5" s="1"/>
  <c r="R242" i="5"/>
  <c r="S242" i="5" s="1"/>
  <c r="T242" i="5" s="1"/>
  <c r="U242" i="5" s="1"/>
  <c r="R941" i="5"/>
  <c r="S941" i="5" s="1"/>
  <c r="R826" i="5"/>
  <c r="S826" i="5" s="1"/>
  <c r="T826" i="5" s="1"/>
  <c r="U826" i="5" s="1"/>
  <c r="R1191" i="5"/>
  <c r="S1191" i="5" s="1"/>
  <c r="T1191" i="5" s="1"/>
  <c r="U1191" i="5" s="1"/>
  <c r="R1242" i="5"/>
  <c r="S1242" i="5" s="1"/>
  <c r="T1242" i="5" s="1"/>
  <c r="U1242" i="5" s="1"/>
  <c r="R817" i="5"/>
  <c r="S817" i="5" s="1"/>
  <c r="R1142" i="5"/>
  <c r="R605" i="5"/>
  <c r="S605" i="5" s="1"/>
  <c r="Q288" i="2"/>
  <c r="R71" i="2"/>
  <c r="S71" i="2" s="1"/>
  <c r="T71" i="2" s="1"/>
  <c r="U71" i="2" s="1"/>
  <c r="M162" i="2"/>
  <c r="R162" i="2" s="1"/>
  <c r="S162" i="2" s="1"/>
  <c r="T162" i="2" s="1"/>
  <c r="U162" i="2" s="1"/>
  <c r="P464" i="2"/>
  <c r="Q464" i="2" s="1"/>
  <c r="R464" i="2" s="1"/>
  <c r="S464" i="2" s="1"/>
  <c r="T464" i="2" s="1"/>
  <c r="U464" i="2" s="1"/>
  <c r="M372" i="2"/>
  <c r="R372" i="2" s="1"/>
  <c r="R76" i="2"/>
  <c r="S76" i="2" s="1"/>
  <c r="T76" i="2" s="1"/>
  <c r="U76" i="2" s="1"/>
  <c r="R82" i="2"/>
  <c r="S82" i="2" s="1"/>
  <c r="T82" i="2" s="1"/>
  <c r="U82" i="2" s="1"/>
  <c r="S375" i="2"/>
  <c r="T375" i="2" s="1"/>
  <c r="U375" i="2" s="1"/>
  <c r="R490" i="2"/>
  <c r="S490" i="2" s="1"/>
  <c r="T490" i="2" s="1"/>
  <c r="U490" i="2" s="1"/>
  <c r="R446" i="2"/>
  <c r="S446" i="2" s="1"/>
  <c r="T446" i="2" s="1"/>
  <c r="U446" i="2" s="1"/>
  <c r="R449" i="2"/>
  <c r="S449" i="2" s="1"/>
  <c r="T449" i="2" s="1"/>
  <c r="U449" i="2" s="1"/>
  <c r="R60" i="2"/>
  <c r="S60" i="2" s="1"/>
  <c r="R456" i="2"/>
  <c r="R79" i="2"/>
  <c r="S79" i="2" s="1"/>
  <c r="T79" i="2" s="1"/>
  <c r="U79" i="2" s="1"/>
  <c r="R78" i="2"/>
  <c r="S78" i="2" s="1"/>
  <c r="R451" i="2"/>
  <c r="R81" i="2"/>
  <c r="R203" i="2"/>
  <c r="R205" i="2"/>
  <c r="S205" i="2" s="1"/>
  <c r="T205" i="2" s="1"/>
  <c r="U205" i="2" s="1"/>
  <c r="R444" i="2"/>
  <c r="S444" i="2" s="1"/>
  <c r="T444" i="2" s="1"/>
  <c r="U444" i="2" s="1"/>
  <c r="R347" i="2"/>
  <c r="S123" i="2"/>
  <c r="T123" i="2" s="1"/>
  <c r="U123" i="2" s="1"/>
  <c r="R197" i="2"/>
  <c r="S197" i="2" s="1"/>
  <c r="T197" i="2" s="1"/>
  <c r="U197" i="2" s="1"/>
  <c r="R77" i="2"/>
  <c r="S77" i="2" s="1"/>
  <c r="R457" i="2"/>
  <c r="S457" i="2" s="1"/>
  <c r="S304" i="2"/>
  <c r="T304" i="2" s="1"/>
  <c r="U304" i="2" s="1"/>
  <c r="P241" i="2"/>
  <c r="O278" i="2"/>
  <c r="T1050" i="5"/>
  <c r="U1050" i="5" s="1"/>
  <c r="P398" i="2"/>
  <c r="Q398" i="2" s="1"/>
  <c r="R398" i="2" s="1"/>
  <c r="S398" i="2" s="1"/>
  <c r="T398" i="2" s="1"/>
  <c r="U398" i="2" s="1"/>
  <c r="R83" i="2"/>
  <c r="S83" i="2" s="1"/>
  <c r="T83" i="2" s="1"/>
  <c r="U83" i="2" s="1"/>
  <c r="S70" i="2"/>
  <c r="T70" i="2" s="1"/>
  <c r="U70" i="2" s="1"/>
  <c r="R480" i="2"/>
  <c r="S480" i="2" s="1"/>
  <c r="T799" i="5"/>
  <c r="U799" i="5" s="1"/>
  <c r="R448" i="2"/>
  <c r="R436" i="2"/>
  <c r="S436" i="2" s="1"/>
  <c r="T436" i="2" s="1"/>
  <c r="U436" i="2" s="1"/>
  <c r="T528" i="5"/>
  <c r="U528" i="5" s="1"/>
  <c r="S1161" i="5"/>
  <c r="T1161" i="5" s="1"/>
  <c r="U1161" i="5" s="1"/>
  <c r="T706" i="5"/>
  <c r="U706" i="5" s="1"/>
  <c r="T240" i="5"/>
  <c r="U240" i="5" s="1"/>
  <c r="L298" i="2"/>
  <c r="M298" i="2" s="1"/>
  <c r="P298" i="2"/>
  <c r="Q298" i="2" s="1"/>
  <c r="T1086" i="5"/>
  <c r="U1086" i="5" s="1"/>
  <c r="S508" i="5"/>
  <c r="T508" i="5" s="1"/>
  <c r="U508" i="5" s="1"/>
  <c r="R440" i="2"/>
  <c r="S440" i="2" s="1"/>
  <c r="T738" i="5"/>
  <c r="U738" i="5" s="1"/>
  <c r="S592" i="5"/>
  <c r="T592" i="5" s="1"/>
  <c r="U592" i="5" s="1"/>
  <c r="S1162" i="5"/>
  <c r="T1162" i="5" s="1"/>
  <c r="U1162" i="5" s="1"/>
  <c r="S243" i="2"/>
  <c r="T243" i="2" s="1"/>
  <c r="U243" i="2" s="1"/>
  <c r="R47" i="2"/>
  <c r="S47" i="2" s="1"/>
  <c r="T47" i="2" s="1"/>
  <c r="U47" i="2" s="1"/>
  <c r="R84" i="2"/>
  <c r="S84" i="2" s="1"/>
  <c r="S470" i="2"/>
  <c r="T470" i="2" s="1"/>
  <c r="U470" i="2" s="1"/>
  <c r="R33" i="2"/>
  <c r="S33" i="2" s="1"/>
  <c r="T33" i="2" s="1"/>
  <c r="U33" i="2" s="1"/>
  <c r="R29" i="2"/>
  <c r="S29" i="2" s="1"/>
  <c r="T29" i="2" s="1"/>
  <c r="U29" i="2" s="1"/>
  <c r="R380" i="2"/>
  <c r="S380" i="2" s="1"/>
  <c r="T380" i="2" s="1"/>
  <c r="U380" i="2" s="1"/>
  <c r="L488" i="2"/>
  <c r="M488" i="2" s="1"/>
  <c r="P488" i="2"/>
  <c r="Q488" i="2" s="1"/>
  <c r="T1196" i="5"/>
  <c r="U1196" i="5" s="1"/>
  <c r="T651" i="5"/>
  <c r="U651" i="5" s="1"/>
  <c r="T280" i="5"/>
  <c r="U280" i="5" s="1"/>
  <c r="T1019" i="5"/>
  <c r="U1019" i="5" s="1"/>
  <c r="T664" i="5"/>
  <c r="U664" i="5" s="1"/>
  <c r="T1088" i="5"/>
  <c r="U1088" i="5" s="1"/>
  <c r="T82" i="5"/>
  <c r="U82" i="5" s="1"/>
  <c r="T1061" i="5"/>
  <c r="U1061" i="5" s="1"/>
  <c r="S272" i="2"/>
  <c r="T272" i="2" s="1"/>
  <c r="U272" i="2" s="1"/>
  <c r="T74" i="2"/>
  <c r="U74" i="2" s="1"/>
  <c r="T1262" i="5"/>
  <c r="U1262" i="5" s="1"/>
  <c r="T718" i="5"/>
  <c r="U718" i="5" s="1"/>
  <c r="T352" i="5"/>
  <c r="U352" i="5" s="1"/>
  <c r="S546" i="5"/>
  <c r="T546" i="5" s="1"/>
  <c r="U546" i="5" s="1"/>
  <c r="T685" i="5"/>
  <c r="U685" i="5" s="1"/>
  <c r="T998" i="5"/>
  <c r="U998" i="5" s="1"/>
  <c r="S275" i="5"/>
  <c r="T275" i="5" s="1"/>
  <c r="U275" i="5" s="1"/>
  <c r="T438" i="2"/>
  <c r="U438" i="2" s="1"/>
  <c r="P171" i="2"/>
  <c r="Q171" i="2" s="1"/>
  <c r="R171" i="2" s="1"/>
  <c r="P422" i="2"/>
  <c r="Q422" i="2" s="1"/>
  <c r="R422" i="2" s="1"/>
  <c r="S422" i="2" s="1"/>
  <c r="T422" i="2" s="1"/>
  <c r="U422" i="2" s="1"/>
  <c r="R135" i="2"/>
  <c r="S135" i="2" s="1"/>
  <c r="T135" i="2" s="1"/>
  <c r="U135" i="2" s="1"/>
  <c r="P396" i="2"/>
  <c r="Q396" i="2" s="1"/>
  <c r="R396" i="2" s="1"/>
  <c r="T222" i="2"/>
  <c r="U222" i="2" s="1"/>
  <c r="T25" i="2"/>
  <c r="U25" i="2" s="1"/>
  <c r="S73" i="2"/>
  <c r="T73" i="2" s="1"/>
  <c r="U73" i="2" s="1"/>
  <c r="S186" i="2"/>
  <c r="T186" i="2" s="1"/>
  <c r="U186" i="2" s="1"/>
  <c r="S1199" i="5"/>
  <c r="T1199" i="5" s="1"/>
  <c r="U1199" i="5" s="1"/>
  <c r="S202" i="2"/>
  <c r="T202" i="2" s="1"/>
  <c r="U202" i="2" s="1"/>
  <c r="S628" i="5"/>
  <c r="T628" i="5" s="1"/>
  <c r="U628" i="5" s="1"/>
  <c r="S130" i="2"/>
  <c r="T130" i="2" s="1"/>
  <c r="U130" i="2" s="1"/>
  <c r="S219" i="2"/>
  <c r="T219" i="2" s="1"/>
  <c r="U219" i="2" s="1"/>
  <c r="S132" i="2"/>
  <c r="T132" i="2" s="1"/>
  <c r="U132" i="2" s="1"/>
  <c r="S471" i="2"/>
  <c r="T471" i="2" s="1"/>
  <c r="U471" i="2" s="1"/>
  <c r="R476" i="2"/>
  <c r="R431" i="2"/>
  <c r="S431" i="2" s="1"/>
  <c r="T431" i="2" s="1"/>
  <c r="U431" i="2" s="1"/>
  <c r="S923" i="5"/>
  <c r="T923" i="5" s="1"/>
  <c r="U923" i="5" s="1"/>
  <c r="T318" i="5"/>
  <c r="U318" i="5" s="1"/>
  <c r="S559" i="5"/>
  <c r="T559" i="5" s="1"/>
  <c r="U559" i="5" s="1"/>
  <c r="S543" i="5"/>
  <c r="T543" i="5" s="1"/>
  <c r="U543" i="5" s="1"/>
  <c r="S199" i="2"/>
  <c r="T199" i="2" s="1"/>
  <c r="U199" i="2" s="1"/>
  <c r="S161" i="2"/>
  <c r="T161" i="2" s="1"/>
  <c r="U161" i="2" s="1"/>
  <c r="T1245" i="5"/>
  <c r="U1245" i="5" s="1"/>
  <c r="T37" i="5"/>
  <c r="U37" i="5" s="1"/>
  <c r="R173" i="2"/>
  <c r="S173" i="2" s="1"/>
  <c r="T173" i="2" s="1"/>
  <c r="U173" i="2" s="1"/>
  <c r="T43" i="2"/>
  <c r="U43" i="2" s="1"/>
  <c r="T113" i="2"/>
  <c r="U113" i="2" s="1"/>
  <c r="S226" i="2"/>
  <c r="T226" i="2" s="1"/>
  <c r="U226" i="2" s="1"/>
  <c r="S178" i="2"/>
  <c r="T178" i="2" s="1"/>
  <c r="U178" i="2" s="1"/>
  <c r="T111" i="2"/>
  <c r="S395" i="2"/>
  <c r="T395" i="2" s="1"/>
  <c r="U395" i="2" s="1"/>
  <c r="L411" i="2"/>
  <c r="M411" i="2" s="1"/>
  <c r="R411" i="2" s="1"/>
  <c r="T1247" i="5"/>
  <c r="U1247" i="5" s="1"/>
  <c r="S418" i="5"/>
  <c r="T418" i="5" s="1"/>
  <c r="U418" i="5" s="1"/>
  <c r="T1244" i="5"/>
  <c r="U1244" i="5" s="1"/>
  <c r="S339" i="5"/>
  <c r="T339" i="5" s="1"/>
  <c r="U339" i="5" s="1"/>
  <c r="S244" i="5"/>
  <c r="T244" i="5" s="1"/>
  <c r="U244" i="5" s="1"/>
  <c r="T36" i="5"/>
  <c r="U36" i="5" s="1"/>
  <c r="S630" i="5"/>
  <c r="T630" i="5" s="1"/>
  <c r="U630" i="5" s="1"/>
  <c r="T996" i="5"/>
  <c r="U996" i="5" s="1"/>
  <c r="S946" i="5"/>
  <c r="T946" i="5" s="1"/>
  <c r="U946" i="5" s="1"/>
  <c r="S502" i="5"/>
  <c r="T502" i="5" s="1"/>
  <c r="U502" i="5" s="1"/>
  <c r="S447" i="5"/>
  <c r="T447" i="5" s="1"/>
  <c r="U447" i="5" s="1"/>
  <c r="S606" i="5"/>
  <c r="T606" i="5" s="1"/>
  <c r="U606" i="5" s="1"/>
  <c r="S1185" i="5"/>
  <c r="T1185" i="5" s="1"/>
  <c r="U1185" i="5" s="1"/>
  <c r="S444" i="5"/>
  <c r="T444" i="5" s="1"/>
  <c r="U444" i="5" s="1"/>
  <c r="S1090" i="5"/>
  <c r="T1090" i="5" s="1"/>
  <c r="U1090" i="5" s="1"/>
  <c r="T291" i="2"/>
  <c r="U291" i="2" s="1"/>
  <c r="T308" i="5"/>
  <c r="U308" i="5" s="1"/>
  <c r="T416" i="5"/>
  <c r="U416" i="5" s="1"/>
  <c r="T1148" i="5"/>
  <c r="U1148" i="5" s="1"/>
  <c r="T1243" i="5"/>
  <c r="U1243" i="5" s="1"/>
  <c r="T1194" i="5"/>
  <c r="U1194" i="5" s="1"/>
  <c r="T419" i="5"/>
  <c r="U419" i="5" s="1"/>
  <c r="T836" i="5"/>
  <c r="U836" i="5" s="1"/>
  <c r="T52" i="5"/>
  <c r="U52" i="5" s="1"/>
  <c r="T45" i="2"/>
  <c r="U45" i="2" s="1"/>
  <c r="T372" i="5"/>
  <c r="U372" i="5" s="1"/>
  <c r="T410" i="2"/>
  <c r="U410" i="2" s="1"/>
  <c r="T598" i="5"/>
  <c r="U598" i="5" s="1"/>
  <c r="T507" i="5"/>
  <c r="U507" i="5" s="1"/>
  <c r="T1204" i="5"/>
  <c r="U1204" i="5" s="1"/>
  <c r="T1021" i="5"/>
  <c r="U1021" i="5" s="1"/>
  <c r="S669" i="5"/>
  <c r="T669" i="5" s="1"/>
  <c r="U669" i="5" s="1"/>
  <c r="T298" i="5"/>
  <c r="U298" i="5" s="1"/>
  <c r="T1241" i="5"/>
  <c r="U1241" i="5" s="1"/>
  <c r="T121" i="2"/>
  <c r="U121" i="2" s="1"/>
  <c r="S363" i="2"/>
  <c r="T363" i="2" s="1"/>
  <c r="U363" i="2" s="1"/>
  <c r="S225" i="2"/>
  <c r="T225" i="2" s="1"/>
  <c r="U225" i="2" s="1"/>
  <c r="S23" i="2"/>
  <c r="T23" i="2" s="1"/>
  <c r="U23" i="2" s="1"/>
  <c r="S362" i="2"/>
  <c r="T362" i="2" s="1"/>
  <c r="U362" i="2" s="1"/>
  <c r="S999" i="5"/>
  <c r="T999" i="5" s="1"/>
  <c r="U999" i="5" s="1"/>
  <c r="S863" i="5"/>
  <c r="T863" i="5" s="1"/>
  <c r="U863" i="5" s="1"/>
  <c r="S320" i="5"/>
  <c r="T320" i="5" s="1"/>
  <c r="U320" i="5" s="1"/>
  <c r="S487" i="5"/>
  <c r="T487" i="5" s="1"/>
  <c r="U487" i="5" s="1"/>
  <c r="S433" i="5"/>
  <c r="T433" i="5" s="1"/>
  <c r="U433" i="5" s="1"/>
  <c r="S45" i="5"/>
  <c r="T45" i="5" s="1"/>
  <c r="U45" i="5" s="1"/>
  <c r="S649" i="5"/>
  <c r="T649" i="5" s="1"/>
  <c r="U649" i="5" s="1"/>
  <c r="S139" i="5"/>
  <c r="T139" i="5" s="1"/>
  <c r="U139" i="5" s="1"/>
  <c r="S121" i="5"/>
  <c r="T121" i="5" s="1"/>
  <c r="U121" i="5" s="1"/>
  <c r="T819" i="5"/>
  <c r="U819" i="5" s="1"/>
  <c r="T1066" i="5"/>
  <c r="U1066" i="5" s="1"/>
  <c r="S1261" i="5"/>
  <c r="T1261" i="5" s="1"/>
  <c r="U1261" i="5" s="1"/>
  <c r="S140" i="5"/>
  <c r="T140" i="5" s="1"/>
  <c r="U140" i="5" s="1"/>
  <c r="T1060" i="5"/>
  <c r="U1060" i="5" s="1"/>
  <c r="T574" i="5"/>
  <c r="U574" i="5" s="1"/>
  <c r="T448" i="5"/>
  <c r="U448" i="5" s="1"/>
  <c r="T1032" i="5"/>
  <c r="U1032" i="5" s="1"/>
  <c r="T1097" i="5"/>
  <c r="U1097" i="5" s="1"/>
  <c r="T81" i="5"/>
  <c r="U81" i="5" s="1"/>
  <c r="T107" i="5"/>
  <c r="U107" i="5" s="1"/>
  <c r="T589" i="5"/>
  <c r="U589" i="5" s="1"/>
  <c r="R997" i="5"/>
  <c r="S997" i="5" s="1"/>
  <c r="T997" i="5" s="1"/>
  <c r="U997" i="5" s="1"/>
  <c r="R990" i="5"/>
  <c r="R349" i="5"/>
  <c r="R276" i="2"/>
  <c r="R220" i="2"/>
  <c r="S294" i="2"/>
  <c r="U112" i="2"/>
  <c r="U281" i="2"/>
  <c r="S326" i="2"/>
  <c r="T326" i="2" s="1"/>
  <c r="U326" i="2" s="1"/>
  <c r="Q462" i="2"/>
  <c r="R462" i="2" s="1"/>
  <c r="S314" i="2"/>
  <c r="T314" i="2" s="1"/>
  <c r="U314" i="2" s="1"/>
  <c r="S417" i="2"/>
  <c r="T417" i="2" s="1"/>
  <c r="U417" i="2" s="1"/>
  <c r="S312" i="2"/>
  <c r="T312" i="2" s="1"/>
  <c r="U312" i="2" s="1"/>
  <c r="S296" i="2"/>
  <c r="T296" i="2" s="1"/>
  <c r="U296" i="2" s="1"/>
  <c r="S257" i="2"/>
  <c r="T257" i="2" s="1"/>
  <c r="U257" i="2" s="1"/>
  <c r="S175" i="2"/>
  <c r="T175" i="2" s="1"/>
  <c r="U175" i="2" s="1"/>
  <c r="S472" i="2"/>
  <c r="T472" i="2" s="1"/>
  <c r="U472" i="2" s="1"/>
  <c r="S159" i="2"/>
  <c r="T159" i="2" s="1"/>
  <c r="U159" i="2" s="1"/>
  <c r="R115" i="2"/>
  <c r="R22" i="2"/>
  <c r="U336" i="2"/>
  <c r="S382" i="2"/>
  <c r="T382" i="2" s="1"/>
  <c r="U382" i="2" s="1"/>
  <c r="S369" i="2"/>
  <c r="T369" i="2" s="1"/>
  <c r="U369" i="2" s="1"/>
  <c r="T292" i="2"/>
  <c r="S403" i="2"/>
  <c r="T403" i="2" s="1"/>
  <c r="U403" i="2" s="1"/>
  <c r="S20" i="2"/>
  <c r="T20" i="2" s="1"/>
  <c r="U20" i="2" s="1"/>
  <c r="Q18" i="2"/>
  <c r="S174" i="2"/>
  <c r="T174" i="2" s="1"/>
  <c r="U174" i="2" s="1"/>
  <c r="T284" i="2"/>
  <c r="U284" i="2" s="1"/>
  <c r="S288" i="2"/>
  <c r="F28" i="12" s="1"/>
  <c r="T237" i="2"/>
  <c r="U237" i="2" s="1"/>
  <c r="S138" i="5"/>
  <c r="T138" i="5" s="1"/>
  <c r="U138" i="5" s="1"/>
  <c r="T537" i="5"/>
  <c r="U537" i="5" s="1"/>
  <c r="T336" i="5"/>
  <c r="U336" i="5" s="1"/>
  <c r="T873" i="5"/>
  <c r="U873" i="5" s="1"/>
  <c r="S879" i="5"/>
  <c r="T879" i="5" s="1"/>
  <c r="U879" i="5" s="1"/>
  <c r="T115" i="5"/>
  <c r="U115" i="5" s="1"/>
  <c r="S532" i="5"/>
  <c r="T532" i="5" s="1"/>
  <c r="U532" i="5" s="1"/>
  <c r="T326" i="5"/>
  <c r="U326" i="5" s="1"/>
  <c r="S314" i="5"/>
  <c r="T314" i="5" s="1"/>
  <c r="U314" i="5" s="1"/>
  <c r="T35" i="5"/>
  <c r="U35" i="5" s="1"/>
  <c r="S852" i="5"/>
  <c r="T852" i="5" s="1"/>
  <c r="U852" i="5" s="1"/>
  <c r="T688" i="5"/>
  <c r="U688" i="5" s="1"/>
  <c r="T821" i="5"/>
  <c r="U821" i="5" s="1"/>
  <c r="T1124" i="5"/>
  <c r="S118" i="5"/>
  <c r="T118" i="5" s="1"/>
  <c r="U118" i="5" s="1"/>
  <c r="T134" i="2"/>
  <c r="U134" i="2" s="1"/>
  <c r="T214" i="2"/>
  <c r="U214" i="2" s="1"/>
  <c r="T429" i="2"/>
  <c r="U429" i="2" s="1"/>
  <c r="S407" i="2"/>
  <c r="T407" i="2" s="1"/>
  <c r="U407" i="2" s="1"/>
  <c r="T223" i="2"/>
  <c r="U223" i="2" s="1"/>
  <c r="S120" i="2"/>
  <c r="T120" i="2" s="1"/>
  <c r="U120" i="2" s="1"/>
  <c r="S386" i="2"/>
  <c r="T386" i="2" s="1"/>
  <c r="U386" i="2" s="1"/>
  <c r="T128" i="2"/>
  <c r="U128" i="2" s="1"/>
  <c r="S406" i="2"/>
  <c r="T406" i="2" s="1"/>
  <c r="U406" i="2" s="1"/>
  <c r="T125" i="2"/>
  <c r="U125" i="2" s="1"/>
  <c r="T127" i="2"/>
  <c r="U127" i="2" s="1"/>
  <c r="T126" i="2"/>
  <c r="U126" i="2" s="1"/>
  <c r="T36" i="2"/>
  <c r="U36" i="2" s="1"/>
  <c r="T14" i="2"/>
  <c r="S309" i="2"/>
  <c r="T309" i="2" s="1"/>
  <c r="U309" i="2" s="1"/>
  <c r="S295" i="2"/>
  <c r="T295" i="2" s="1"/>
  <c r="U295" i="2" s="1"/>
  <c r="T423" i="2"/>
  <c r="U423" i="2" s="1"/>
  <c r="O387" i="2"/>
  <c r="P387" i="2" s="1"/>
  <c r="Q387" i="2" s="1"/>
  <c r="R387" i="2" s="1"/>
  <c r="S129" i="2"/>
  <c r="T129" i="2" s="1"/>
  <c r="U129" i="2" s="1"/>
  <c r="S489" i="2"/>
  <c r="T489" i="2" s="1"/>
  <c r="U489" i="2" s="1"/>
  <c r="T323" i="5"/>
  <c r="U323" i="5" s="1"/>
  <c r="T281" i="5"/>
  <c r="U281" i="5" s="1"/>
  <c r="S1207" i="5"/>
  <c r="T1207" i="5" s="1"/>
  <c r="U1207" i="5" s="1"/>
  <c r="T117" i="5"/>
  <c r="U117" i="5" s="1"/>
  <c r="T868" i="5"/>
  <c r="U868" i="5" s="1"/>
  <c r="T1107" i="5"/>
  <c r="U1107" i="5" s="1"/>
  <c r="T409" i="5"/>
  <c r="U409" i="5" s="1"/>
  <c r="T1138" i="5"/>
  <c r="U1138" i="5" s="1"/>
  <c r="S891" i="5"/>
  <c r="T891" i="5" s="1"/>
  <c r="U891" i="5" s="1"/>
  <c r="S644" i="5"/>
  <c r="T644" i="5" s="1"/>
  <c r="U644" i="5" s="1"/>
  <c r="S279" i="5"/>
  <c r="T279" i="5" s="1"/>
  <c r="U279" i="5" s="1"/>
  <c r="T1239" i="5"/>
  <c r="S443" i="5"/>
  <c r="T443" i="5" s="1"/>
  <c r="U443" i="5" s="1"/>
  <c r="S407" i="5"/>
  <c r="T407" i="5" s="1"/>
  <c r="U407" i="5" s="1"/>
  <c r="T393" i="2"/>
  <c r="U393" i="2" s="1"/>
  <c r="S364" i="2"/>
  <c r="T364" i="2" s="1"/>
  <c r="U364" i="2" s="1"/>
  <c r="T163" i="2"/>
  <c r="U163" i="2" s="1"/>
  <c r="T210" i="5"/>
  <c r="U210" i="5" s="1"/>
  <c r="S462" i="5"/>
  <c r="T462" i="5" s="1"/>
  <c r="U462" i="5" s="1"/>
  <c r="T1178" i="5"/>
  <c r="U1178" i="5" s="1"/>
  <c r="T412" i="5"/>
  <c r="U412" i="5" s="1"/>
  <c r="T39" i="5"/>
  <c r="U39" i="5" s="1"/>
  <c r="T40" i="2"/>
  <c r="U40" i="2" s="1"/>
  <c r="T1125" i="5"/>
  <c r="U1125" i="5" s="1"/>
  <c r="T1053" i="5"/>
  <c r="U1053" i="5" s="1"/>
  <c r="T1105" i="5"/>
  <c r="U1105" i="5" s="1"/>
  <c r="T541" i="5"/>
  <c r="U541" i="5" s="1"/>
  <c r="T316" i="5"/>
  <c r="U316" i="5" s="1"/>
  <c r="T616" i="5"/>
  <c r="U616" i="5" s="1"/>
  <c r="T390" i="2"/>
  <c r="U390" i="2" s="1"/>
  <c r="S122" i="2"/>
  <c r="T122" i="2" s="1"/>
  <c r="U122" i="2" s="1"/>
  <c r="S408" i="2"/>
  <c r="T408" i="2" s="1"/>
  <c r="U408" i="2" s="1"/>
  <c r="S368" i="2"/>
  <c r="T368" i="2" s="1"/>
  <c r="U368" i="2" s="1"/>
  <c r="S224" i="2"/>
  <c r="T224" i="2" s="1"/>
  <c r="U224" i="2" s="1"/>
  <c r="S461" i="2"/>
  <c r="T461" i="2" s="1"/>
  <c r="U461" i="2" s="1"/>
  <c r="S254" i="2"/>
  <c r="T254" i="2" s="1"/>
  <c r="U254" i="2" s="1"/>
  <c r="S492" i="2"/>
  <c r="T492" i="2" s="1"/>
  <c r="U492" i="2" s="1"/>
  <c r="S425" i="2"/>
  <c r="T425" i="2" s="1"/>
  <c r="U425" i="2" s="1"/>
  <c r="Q234" i="2"/>
  <c r="S426" i="2"/>
  <c r="T426" i="2" s="1"/>
  <c r="U426" i="2" s="1"/>
  <c r="S445" i="5"/>
  <c r="T445" i="5" s="1"/>
  <c r="U445" i="5" s="1"/>
  <c r="S1183" i="5"/>
  <c r="T1183" i="5" s="1"/>
  <c r="U1183" i="5" s="1"/>
  <c r="S956" i="5"/>
  <c r="T956" i="5" s="1"/>
  <c r="U956" i="5" s="1"/>
  <c r="S551" i="5"/>
  <c r="T551" i="5" s="1"/>
  <c r="U551" i="5" s="1"/>
  <c r="S294" i="5"/>
  <c r="T294" i="5" s="1"/>
  <c r="U294" i="5" s="1"/>
  <c r="S441" i="5"/>
  <c r="T441" i="5" s="1"/>
  <c r="U441" i="5" s="1"/>
  <c r="S1146" i="5"/>
  <c r="T1146" i="5" s="1"/>
  <c r="U1146" i="5" s="1"/>
  <c r="S250" i="5"/>
  <c r="T250" i="5" s="1"/>
  <c r="U250" i="5" s="1"/>
  <c r="S38" i="2"/>
  <c r="T38" i="2" s="1"/>
  <c r="U38" i="2" s="1"/>
  <c r="S235" i="2"/>
  <c r="T235" i="2" s="1"/>
  <c r="S137" i="5"/>
  <c r="T137" i="5" s="1"/>
  <c r="U137" i="5" s="1"/>
  <c r="S470" i="5"/>
  <c r="T470" i="5" s="1"/>
  <c r="U470" i="5" s="1"/>
  <c r="S179" i="5"/>
  <c r="T179" i="5" s="1"/>
  <c r="U179" i="5" s="1"/>
  <c r="S267" i="2"/>
  <c r="T267" i="2" s="1"/>
  <c r="U267" i="2" s="1"/>
  <c r="S158" i="2"/>
  <c r="T158" i="2" s="1"/>
  <c r="U158" i="2" s="1"/>
  <c r="T204" i="2"/>
  <c r="U204" i="2" s="1"/>
  <c r="T952" i="5"/>
  <c r="U952" i="5" s="1"/>
  <c r="T199" i="5"/>
  <c r="U199" i="5" s="1"/>
  <c r="T556" i="5"/>
  <c r="U556" i="5" s="1"/>
  <c r="T1211" i="5"/>
  <c r="U1211" i="5" s="1"/>
  <c r="S458" i="2"/>
  <c r="S177" i="2"/>
  <c r="T177" i="2" s="1"/>
  <c r="U177" i="2" s="1"/>
  <c r="T53" i="2"/>
  <c r="U53" i="2" s="1"/>
  <c r="T415" i="2"/>
  <c r="U415" i="2" s="1"/>
  <c r="T494" i="2"/>
  <c r="U494" i="2" s="1"/>
  <c r="T478" i="2"/>
  <c r="U478" i="2" s="1"/>
  <c r="T327" i="2"/>
  <c r="U327" i="2" s="1"/>
  <c r="S404" i="2"/>
  <c r="T404" i="2" s="1"/>
  <c r="U404" i="2" s="1"/>
  <c r="S311" i="2"/>
  <c r="T311" i="2" s="1"/>
  <c r="U311" i="2" s="1"/>
  <c r="S324" i="2"/>
  <c r="T324" i="2" s="1"/>
  <c r="U324" i="2" s="1"/>
  <c r="S303" i="2"/>
  <c r="T303" i="2" s="1"/>
  <c r="U303" i="2" s="1"/>
  <c r="S427" i="2"/>
  <c r="T427" i="2" s="1"/>
  <c r="U427" i="2" s="1"/>
  <c r="S797" i="5"/>
  <c r="T797" i="5" s="1"/>
  <c r="U797" i="5" s="1"/>
  <c r="S1240" i="5"/>
  <c r="S424" i="5"/>
  <c r="T424" i="5" s="1"/>
  <c r="U424" i="5" s="1"/>
  <c r="S1134" i="5"/>
  <c r="T1134" i="5" s="1"/>
  <c r="U1134" i="5" s="1"/>
  <c r="S389" i="2"/>
  <c r="T389" i="2" s="1"/>
  <c r="U389" i="2" s="1"/>
  <c r="S55" i="2"/>
  <c r="T55" i="2" s="1"/>
  <c r="U55" i="2" s="1"/>
  <c r="S160" i="2"/>
  <c r="T160" i="2" s="1"/>
  <c r="U160" i="2" s="1"/>
  <c r="S737" i="5"/>
  <c r="T737" i="5" s="1"/>
  <c r="U737" i="5" s="1"/>
  <c r="S102" i="5"/>
  <c r="T102" i="5" s="1"/>
  <c r="U102" i="5" s="1"/>
  <c r="S1000" i="5"/>
  <c r="T1000" i="5" s="1"/>
  <c r="U1000" i="5" s="1"/>
  <c r="S88" i="5"/>
  <c r="T88" i="5" s="1"/>
  <c r="U88" i="5" s="1"/>
  <c r="S28" i="2"/>
  <c r="T28" i="2" s="1"/>
  <c r="U28" i="2" s="1"/>
  <c r="T349" i="2"/>
  <c r="U349" i="2" s="1"/>
  <c r="T206" i="5"/>
  <c r="U206" i="5" s="1"/>
  <c r="T614" i="5"/>
  <c r="U614" i="5" s="1"/>
  <c r="T378" i="2"/>
  <c r="U378" i="2" s="1"/>
  <c r="T469" i="2"/>
  <c r="S24" i="2"/>
  <c r="T24" i="2" s="1"/>
  <c r="U24" i="2" s="1"/>
  <c r="T313" i="2"/>
  <c r="U313" i="2" s="1"/>
  <c r="S221" i="2"/>
  <c r="T221" i="2" s="1"/>
  <c r="U221" i="2" s="1"/>
  <c r="O486" i="2"/>
  <c r="S405" i="2"/>
  <c r="T405" i="2" s="1"/>
  <c r="U405" i="2" s="1"/>
  <c r="T409" i="2"/>
  <c r="U409" i="2" s="1"/>
  <c r="S1224" i="5"/>
  <c r="T1224" i="5" s="1"/>
  <c r="U1224" i="5" s="1"/>
  <c r="T337" i="5"/>
  <c r="U337" i="5" s="1"/>
  <c r="S1181" i="5"/>
  <c r="T1181" i="5" s="1"/>
  <c r="U1181" i="5" s="1"/>
  <c r="S994" i="5"/>
  <c r="T994" i="5" s="1"/>
  <c r="U994" i="5" s="1"/>
  <c r="S845" i="5"/>
  <c r="T845" i="5" s="1"/>
  <c r="U845" i="5" s="1"/>
  <c r="S334" i="5"/>
  <c r="T334" i="5" s="1"/>
  <c r="U334" i="5" s="1"/>
  <c r="T69" i="5"/>
  <c r="U69" i="5" s="1"/>
  <c r="S401" i="5"/>
  <c r="T401" i="5" s="1"/>
  <c r="U401" i="5" s="1"/>
  <c r="S1046" i="5"/>
  <c r="T1046" i="5" s="1"/>
  <c r="U1046" i="5" s="1"/>
  <c r="S168" i="2"/>
  <c r="T168" i="2" s="1"/>
  <c r="U168" i="2" s="1"/>
  <c r="S370" i="2"/>
  <c r="T370" i="2" s="1"/>
  <c r="U370" i="2" s="1"/>
  <c r="S697" i="5"/>
  <c r="S153" i="5"/>
  <c r="T153" i="5" s="1"/>
  <c r="U153" i="5" s="1"/>
  <c r="T568" i="5"/>
  <c r="U568" i="5" s="1"/>
  <c r="T59" i="5"/>
  <c r="U59" i="5" s="1"/>
  <c r="T621" i="5"/>
  <c r="U621" i="5" s="1"/>
  <c r="T937" i="5"/>
  <c r="U937" i="5" s="1"/>
  <c r="T911" i="5"/>
  <c r="U911" i="5" s="1"/>
  <c r="T599" i="5"/>
  <c r="U599" i="5" s="1"/>
  <c r="T694" i="5"/>
  <c r="U694" i="5" s="1"/>
  <c r="T499" i="5"/>
  <c r="U499" i="5" s="1"/>
  <c r="T366" i="5"/>
  <c r="U366" i="5" s="1"/>
  <c r="T229" i="5"/>
  <c r="T177" i="5"/>
  <c r="U177" i="5" s="1"/>
  <c r="T410" i="5"/>
  <c r="U410" i="5" s="1"/>
  <c r="T1151" i="5"/>
  <c r="U1151" i="5" s="1"/>
  <c r="T1139" i="5"/>
  <c r="U1139" i="5" s="1"/>
  <c r="T1128" i="5"/>
  <c r="U1128" i="5" s="1"/>
  <c r="T379" i="2"/>
  <c r="U379" i="2" s="1"/>
  <c r="T959" i="5"/>
  <c r="U959" i="5" s="1"/>
  <c r="T167" i="2"/>
  <c r="U167" i="2" s="1"/>
  <c r="T422" i="5"/>
  <c r="U422" i="5" s="1"/>
  <c r="S485" i="5"/>
  <c r="T485" i="5" s="1"/>
  <c r="U485" i="5" s="1"/>
  <c r="S853" i="5"/>
  <c r="T853" i="5" s="1"/>
  <c r="U853" i="5" s="1"/>
  <c r="S993" i="5"/>
  <c r="T993" i="5" s="1"/>
  <c r="U993" i="5" s="1"/>
  <c r="S312" i="5"/>
  <c r="T312" i="5" s="1"/>
  <c r="U312" i="5" s="1"/>
  <c r="T1071" i="5"/>
  <c r="U1071" i="5" s="1"/>
  <c r="T33" i="5"/>
  <c r="U33" i="5" s="1"/>
  <c r="T864" i="5"/>
  <c r="U864" i="5" s="1"/>
  <c r="T788" i="5"/>
  <c r="T862" i="5"/>
  <c r="U862" i="5" s="1"/>
  <c r="T463" i="5"/>
  <c r="U463" i="5" s="1"/>
  <c r="T548" i="5"/>
  <c r="U548" i="5" s="1"/>
  <c r="T269" i="5"/>
  <c r="U269" i="5" s="1"/>
  <c r="T30" i="5"/>
  <c r="U30" i="5" s="1"/>
  <c r="T989" i="5"/>
  <c r="U989" i="5" s="1"/>
  <c r="T309" i="5"/>
  <c r="U309" i="5" s="1"/>
  <c r="T550" i="5"/>
  <c r="U550" i="5" s="1"/>
  <c r="S478" i="5"/>
  <c r="T478" i="5" s="1"/>
  <c r="U478" i="5" s="1"/>
  <c r="T311" i="5"/>
  <c r="U311" i="5" s="1"/>
  <c r="O459" i="2"/>
  <c r="T1114" i="5"/>
  <c r="U1114" i="5" s="1"/>
  <c r="T26" i="5"/>
  <c r="U26" i="5" s="1"/>
  <c r="T331" i="5"/>
  <c r="U331" i="5" s="1"/>
  <c r="T1006" i="5"/>
  <c r="T837" i="5"/>
  <c r="U837" i="5" s="1"/>
  <c r="T85" i="5"/>
  <c r="U85" i="5" s="1"/>
  <c r="S1030" i="5"/>
  <c r="T1030" i="5" s="1"/>
  <c r="U1030" i="5" s="1"/>
  <c r="S261" i="5"/>
  <c r="T261" i="5" s="1"/>
  <c r="U261" i="5" s="1"/>
  <c r="T471" i="5"/>
  <c r="U471" i="5" s="1"/>
  <c r="T496" i="5"/>
  <c r="U496" i="5" s="1"/>
  <c r="T856" i="5"/>
  <c r="U856" i="5" s="1"/>
  <c r="T958" i="5"/>
  <c r="U958" i="5" s="1"/>
  <c r="T55" i="5"/>
  <c r="U55" i="5" s="1"/>
  <c r="T511" i="5"/>
  <c r="U511" i="5" s="1"/>
  <c r="S658" i="5"/>
  <c r="T658" i="5" s="1"/>
  <c r="U658" i="5" s="1"/>
  <c r="S365" i="5"/>
  <c r="T365" i="5" s="1"/>
  <c r="U365" i="5" s="1"/>
  <c r="S467" i="5"/>
  <c r="T467" i="5" s="1"/>
  <c r="U467" i="5" s="1"/>
  <c r="S562" i="5"/>
  <c r="T562" i="5" s="1"/>
  <c r="U562" i="5" s="1"/>
  <c r="T486" i="5"/>
  <c r="U486" i="5" s="1"/>
  <c r="T907" i="5"/>
  <c r="U907" i="5" s="1"/>
  <c r="T310" i="5"/>
  <c r="U310" i="5" s="1"/>
  <c r="T108" i="5"/>
  <c r="U108" i="5" s="1"/>
  <c r="T839" i="5"/>
  <c r="U839" i="5" s="1"/>
  <c r="T790" i="5"/>
  <c r="U790" i="5" s="1"/>
  <c r="T922" i="5"/>
  <c r="U922" i="5" s="1"/>
  <c r="S1043" i="5"/>
  <c r="T1043" i="5" s="1"/>
  <c r="U1043" i="5" s="1"/>
  <c r="T97" i="5"/>
  <c r="U97" i="5" s="1"/>
  <c r="T384" i="5"/>
  <c r="U384" i="5" s="1"/>
  <c r="T49" i="5"/>
  <c r="U49" i="5" s="1"/>
  <c r="T252" i="18"/>
  <c r="T164" i="18"/>
  <c r="S164" i="18"/>
  <c r="S397" i="2"/>
  <c r="T397" i="2" s="1"/>
  <c r="U397" i="2" s="1"/>
  <c r="U33" i="19"/>
  <c r="P37" i="19"/>
  <c r="T150" i="18"/>
  <c r="U150" i="18" s="1"/>
  <c r="T111" i="18"/>
  <c r="U111" i="18"/>
  <c r="T152" i="18"/>
  <c r="U152" i="18" s="1"/>
  <c r="T107" i="18"/>
  <c r="U107" i="18"/>
  <c r="Q1206" i="5"/>
  <c r="Q674" i="5" s="1"/>
  <c r="P674" i="5"/>
  <c r="T449" i="5"/>
  <c r="U449" i="5" s="1"/>
  <c r="T306" i="5"/>
  <c r="U306" i="5" s="1"/>
  <c r="T54" i="2"/>
  <c r="U54" i="2" s="1"/>
  <c r="P524" i="5"/>
  <c r="Q1007" i="5"/>
  <c r="Q398" i="5" s="1"/>
  <c r="U168" i="18"/>
  <c r="T415" i="18"/>
  <c r="U415" i="18" s="1"/>
  <c r="U173" i="18"/>
  <c r="Q37" i="19"/>
  <c r="Q112" i="19"/>
  <c r="P117" i="19"/>
  <c r="T124" i="18"/>
  <c r="S124" i="18"/>
  <c r="T83" i="18"/>
  <c r="U83" i="18"/>
  <c r="T168" i="5"/>
  <c r="U168" i="5" s="1"/>
  <c r="T1132" i="5"/>
  <c r="U1132" i="5" s="1"/>
  <c r="T142" i="2"/>
  <c r="U142" i="2" s="1"/>
  <c r="S235" i="18"/>
  <c r="S237" i="18" s="1"/>
  <c r="U113" i="19"/>
  <c r="U396" i="18"/>
  <c r="T93" i="18"/>
  <c r="S93" i="18"/>
  <c r="U93" i="18" s="1"/>
  <c r="U70" i="18"/>
  <c r="T70" i="18"/>
  <c r="D79" i="12"/>
  <c r="S15" i="2"/>
  <c r="T15" i="2" s="1"/>
  <c r="U15" i="2" s="1"/>
  <c r="T172" i="18"/>
  <c r="U172" i="18" s="1"/>
  <c r="T146" i="18"/>
  <c r="U146" i="18"/>
  <c r="S385" i="2"/>
  <c r="T385" i="2" s="1"/>
  <c r="U385" i="2" s="1"/>
  <c r="S170" i="2"/>
  <c r="T170" i="2" s="1"/>
  <c r="U170" i="2" s="1"/>
  <c r="T235" i="18"/>
  <c r="T237" i="18" s="1"/>
  <c r="R237" i="18"/>
  <c r="U32" i="19"/>
  <c r="P217" i="18"/>
  <c r="T407" i="18"/>
  <c r="U407" i="18" s="1"/>
  <c r="T303" i="18"/>
  <c r="U91" i="18"/>
  <c r="T37" i="19"/>
  <c r="S467" i="2"/>
  <c r="T467" i="2" s="1"/>
  <c r="U467" i="2" s="1"/>
  <c r="C70" i="12"/>
  <c r="C79" i="12" s="1"/>
  <c r="T62" i="19"/>
  <c r="U45" i="19"/>
  <c r="U349" i="18"/>
  <c r="T349" i="18"/>
  <c r="T217" i="18"/>
  <c r="T148" i="18"/>
  <c r="U148" i="18"/>
  <c r="U76" i="18"/>
  <c r="C43" i="12"/>
  <c r="U98" i="18"/>
  <c r="U303" i="18"/>
  <c r="P176" i="18"/>
  <c r="T28" i="19"/>
  <c r="U28" i="19" s="1"/>
  <c r="U37" i="19" s="1"/>
  <c r="T122" i="19"/>
  <c r="U62" i="19"/>
  <c r="U71" i="19"/>
  <c r="U103" i="19"/>
  <c r="O14" i="8"/>
  <c r="T200" i="2"/>
  <c r="U200" i="2" s="1"/>
  <c r="U47" i="19"/>
  <c r="T114" i="19"/>
  <c r="U114" i="19" s="1"/>
  <c r="U89" i="19"/>
  <c r="S62" i="19"/>
  <c r="O176" i="18"/>
  <c r="T293" i="18"/>
  <c r="S406" i="18"/>
  <c r="S416" i="18"/>
  <c r="T404" i="18"/>
  <c r="U404" i="18" s="1"/>
  <c r="S293" i="18"/>
  <c r="N153" i="2"/>
  <c r="U102" i="18"/>
  <c r="U99" i="18"/>
  <c r="S101" i="19"/>
  <c r="T90" i="19"/>
  <c r="U90" i="19" s="1"/>
  <c r="T194" i="18"/>
  <c r="T196" i="18" s="1"/>
  <c r="T156" i="2"/>
  <c r="U156" i="2" s="1"/>
  <c r="T274" i="2"/>
  <c r="U274" i="2" s="1"/>
  <c r="R64" i="18"/>
  <c r="R100" i="18"/>
  <c r="S236" i="2"/>
  <c r="T236" i="2" s="1"/>
  <c r="U236" i="2" s="1"/>
  <c r="N181" i="2"/>
  <c r="P58" i="18"/>
  <c r="R75" i="18"/>
  <c r="R87" i="18"/>
  <c r="N26" i="2"/>
  <c r="N179" i="2"/>
  <c r="N342" i="2"/>
  <c r="R147" i="18"/>
  <c r="N116" i="2"/>
  <c r="P139" i="18"/>
  <c r="Q139" i="18" s="1"/>
  <c r="Q176" i="18" s="1"/>
  <c r="R171" i="18"/>
  <c r="R116" i="18"/>
  <c r="R165" i="18"/>
  <c r="R113" i="18"/>
  <c r="O123" i="18"/>
  <c r="N127" i="18"/>
  <c r="S285" i="18"/>
  <c r="O305" i="18"/>
  <c r="P302" i="18"/>
  <c r="R346" i="18"/>
  <c r="N413" i="2"/>
  <c r="N315" i="2"/>
  <c r="P281" i="18"/>
  <c r="Q281" i="18" s="1"/>
  <c r="N301" i="2"/>
  <c r="P274" i="18"/>
  <c r="Q274" i="18" s="1"/>
  <c r="Q295" i="18" s="1"/>
  <c r="N295" i="18"/>
  <c r="R382" i="18"/>
  <c r="N307" i="2"/>
  <c r="N44" i="8"/>
  <c r="O43" i="8"/>
  <c r="R46" i="19"/>
  <c r="N15" i="8"/>
  <c r="P40" i="19"/>
  <c r="N48" i="8"/>
  <c r="R73" i="19"/>
  <c r="R80" i="19"/>
  <c r="R86" i="19"/>
  <c r="R106" i="19"/>
  <c r="R115" i="19"/>
  <c r="R83" i="19"/>
  <c r="R88" i="19"/>
  <c r="R92" i="19"/>
  <c r="O124" i="19"/>
  <c r="O128" i="19" s="1"/>
  <c r="P121" i="19"/>
  <c r="R229" i="2" l="1"/>
  <c r="U111" i="2"/>
  <c r="P111" i="2"/>
  <c r="S476" i="2"/>
  <c r="T476" i="2" s="1"/>
  <c r="U476" i="2" s="1"/>
  <c r="R148" i="2"/>
  <c r="S466" i="2"/>
  <c r="T466" i="2" s="1"/>
  <c r="U466" i="2" s="1"/>
  <c r="R96" i="2"/>
  <c r="Q101" i="2"/>
  <c r="P103" i="2"/>
  <c r="Q14" i="2"/>
  <c r="S106" i="2"/>
  <c r="S85" i="2"/>
  <c r="T85" i="2" s="1"/>
  <c r="U85" i="2" s="1"/>
  <c r="S143" i="2"/>
  <c r="T143" i="2" s="1"/>
  <c r="U143" i="2" s="1"/>
  <c r="S93" i="2"/>
  <c r="T93" i="2" s="1"/>
  <c r="U93" i="2" s="1"/>
  <c r="S92" i="2"/>
  <c r="T92" i="2" s="1"/>
  <c r="U92" i="2" s="1"/>
  <c r="S145" i="2"/>
  <c r="T145" i="2" s="1"/>
  <c r="U145" i="2" s="1"/>
  <c r="S89" i="2"/>
  <c r="T89" i="2" s="1"/>
  <c r="U89" i="2" s="1"/>
  <c r="T490" i="5"/>
  <c r="U490" i="5" s="1"/>
  <c r="T916" i="5"/>
  <c r="U916" i="5" s="1"/>
  <c r="T949" i="5"/>
  <c r="U949" i="5" s="1"/>
  <c r="T1049" i="5"/>
  <c r="U1049" i="5" s="1"/>
  <c r="T859" i="5"/>
  <c r="U859" i="5" s="1"/>
  <c r="T228" i="2"/>
  <c r="U228" i="2" s="1"/>
  <c r="S337" i="2"/>
  <c r="T337" i="2" s="1"/>
  <c r="U337" i="2" s="1"/>
  <c r="T78" i="2"/>
  <c r="U78" i="2" s="1"/>
  <c r="T84" i="2"/>
  <c r="U84" i="2" s="1"/>
  <c r="R394" i="2"/>
  <c r="S394" i="2" s="1"/>
  <c r="T394" i="2" s="1"/>
  <c r="U394" i="2" s="1"/>
  <c r="T60" i="2"/>
  <c r="U60" i="2" s="1"/>
  <c r="T340" i="2"/>
  <c r="U340" i="2" s="1"/>
  <c r="P392" i="2"/>
  <c r="Q392" i="2" s="1"/>
  <c r="R392" i="2" s="1"/>
  <c r="S392" i="2" s="1"/>
  <c r="T392" i="2" s="1"/>
  <c r="U392" i="2" s="1"/>
  <c r="S270" i="2"/>
  <c r="T270" i="2" s="1"/>
  <c r="U270" i="2" s="1"/>
  <c r="R310" i="2"/>
  <c r="S310" i="2" s="1"/>
  <c r="T440" i="2"/>
  <c r="U440" i="2" s="1"/>
  <c r="T246" i="2"/>
  <c r="U246" i="2" s="1"/>
  <c r="T1255" i="5"/>
  <c r="U1255" i="5" s="1"/>
  <c r="T832" i="5"/>
  <c r="U832" i="5" s="1"/>
  <c r="P384" i="2"/>
  <c r="Q384" i="2" s="1"/>
  <c r="L384" i="2"/>
  <c r="M384" i="2" s="1"/>
  <c r="T457" i="2"/>
  <c r="U457" i="2" s="1"/>
  <c r="S372" i="2"/>
  <c r="T372" i="2" s="1"/>
  <c r="U372" i="2" s="1"/>
  <c r="P461" i="2"/>
  <c r="O231" i="2"/>
  <c r="D20" i="12" s="1"/>
  <c r="P244" i="2"/>
  <c r="P249" i="2" s="1"/>
  <c r="O103" i="2"/>
  <c r="D10" i="12" s="1"/>
  <c r="S479" i="2"/>
  <c r="T479" i="2" s="1"/>
  <c r="U479" i="2" s="1"/>
  <c r="S234" i="2"/>
  <c r="T234" i="2" s="1"/>
  <c r="S325" i="2"/>
  <c r="T325" i="2" s="1"/>
  <c r="U325" i="2" s="1"/>
  <c r="T480" i="2"/>
  <c r="U480" i="2" s="1"/>
  <c r="R488" i="2"/>
  <c r="P212" i="2"/>
  <c r="O216" i="2"/>
  <c r="D18" i="12" s="1"/>
  <c r="D26" i="12"/>
  <c r="P398" i="5"/>
  <c r="T367" i="5"/>
  <c r="U367" i="5" s="1"/>
  <c r="T1085" i="5"/>
  <c r="U1085" i="5" s="1"/>
  <c r="T373" i="5"/>
  <c r="U373" i="5" s="1"/>
  <c r="T256" i="5"/>
  <c r="U256" i="5" s="1"/>
  <c r="T51" i="5"/>
  <c r="U51" i="5" s="1"/>
  <c r="T289" i="5"/>
  <c r="U289" i="5" s="1"/>
  <c r="T955" i="5"/>
  <c r="U955" i="5" s="1"/>
  <c r="T151" i="5"/>
  <c r="U151" i="5" s="1"/>
  <c r="T227" i="5"/>
  <c r="U227" i="5" s="1"/>
  <c r="P723" i="5"/>
  <c r="T1258" i="5"/>
  <c r="U1258" i="5" s="1"/>
  <c r="T278" i="5"/>
  <c r="U278" i="5" s="1"/>
  <c r="T1098" i="5"/>
  <c r="U1098" i="5" s="1"/>
  <c r="T1221" i="5"/>
  <c r="U1221" i="5" s="1"/>
  <c r="T654" i="5"/>
  <c r="U654" i="5" s="1"/>
  <c r="T111" i="5"/>
  <c r="U111" i="5" s="1"/>
  <c r="T928" i="5"/>
  <c r="U928" i="5" s="1"/>
  <c r="T109" i="5"/>
  <c r="U109" i="5" s="1"/>
  <c r="T1037" i="5"/>
  <c r="U1037" i="5" s="1"/>
  <c r="T286" i="5"/>
  <c r="U286" i="5" s="1"/>
  <c r="T1044" i="5"/>
  <c r="U1044" i="5" s="1"/>
  <c r="T1165" i="5"/>
  <c r="U1165" i="5" s="1"/>
  <c r="T431" i="5"/>
  <c r="U431" i="5" s="1"/>
  <c r="T1024" i="5"/>
  <c r="U1024" i="5" s="1"/>
  <c r="T214" i="5"/>
  <c r="U214" i="5" s="1"/>
  <c r="T1112" i="5"/>
  <c r="U1112" i="5" s="1"/>
  <c r="T343" i="5"/>
  <c r="U343" i="5" s="1"/>
  <c r="T520" i="5"/>
  <c r="U520" i="5" s="1"/>
  <c r="T792" i="5"/>
  <c r="U792" i="5" s="1"/>
  <c r="T18" i="5"/>
  <c r="U18" i="5" s="1"/>
  <c r="T347" i="5"/>
  <c r="U347" i="5" s="1"/>
  <c r="T941" i="5"/>
  <c r="U941" i="5" s="1"/>
  <c r="T345" i="5"/>
  <c r="U345" i="5" s="1"/>
  <c r="T1009" i="5"/>
  <c r="U1009" i="5" s="1"/>
  <c r="T1206" i="5"/>
  <c r="U1206" i="5" s="1"/>
  <c r="T436" i="5"/>
  <c r="U436" i="5" s="1"/>
  <c r="T1056" i="5"/>
  <c r="U1056" i="5" s="1"/>
  <c r="T304" i="5"/>
  <c r="U304" i="5" s="1"/>
  <c r="T641" i="5"/>
  <c r="U641" i="5" s="1"/>
  <c r="T1205" i="5"/>
  <c r="U1205" i="5" s="1"/>
  <c r="T667" i="5"/>
  <c r="U667" i="5" s="1"/>
  <c r="T1115" i="5"/>
  <c r="U1115" i="5" s="1"/>
  <c r="T1223" i="5"/>
  <c r="U1223" i="5" s="1"/>
  <c r="T159" i="5"/>
  <c r="U159" i="5" s="1"/>
  <c r="T255" i="5"/>
  <c r="U255" i="5" s="1"/>
  <c r="T1110" i="5"/>
  <c r="U1110" i="5" s="1"/>
  <c r="T613" i="5"/>
  <c r="U613" i="5" s="1"/>
  <c r="T435" i="5"/>
  <c r="U435" i="5" s="1"/>
  <c r="T84" i="5"/>
  <c r="U84" i="5" s="1"/>
  <c r="T1137" i="5"/>
  <c r="U1137" i="5" s="1"/>
  <c r="T575" i="5"/>
  <c r="U575" i="5" s="1"/>
  <c r="T258" i="5"/>
  <c r="U258" i="5" s="1"/>
  <c r="T1031" i="5"/>
  <c r="U1031" i="5" s="1"/>
  <c r="T420" i="5"/>
  <c r="U420" i="5" s="1"/>
  <c r="T567" i="5"/>
  <c r="U567" i="5" s="1"/>
  <c r="T313" i="5"/>
  <c r="U313" i="5" s="1"/>
  <c r="T1133" i="5"/>
  <c r="U1133" i="5" s="1"/>
  <c r="T456" i="5"/>
  <c r="U456" i="5" s="1"/>
  <c r="T713" i="5"/>
  <c r="T1075" i="5"/>
  <c r="U1075" i="5" s="1"/>
  <c r="T60" i="5"/>
  <c r="U60" i="5" s="1"/>
  <c r="T439" i="5"/>
  <c r="U439" i="5" s="1"/>
  <c r="T479" i="5"/>
  <c r="U479" i="5" s="1"/>
  <c r="T566" i="5"/>
  <c r="U566" i="5" s="1"/>
  <c r="T1120" i="5"/>
  <c r="U1120" i="5" s="1"/>
  <c r="T626" i="5"/>
  <c r="U626" i="5" s="1"/>
  <c r="T1023" i="5"/>
  <c r="U1023" i="5" s="1"/>
  <c r="S276" i="5"/>
  <c r="T276" i="5" s="1"/>
  <c r="U276" i="5" s="1"/>
  <c r="T855" i="5"/>
  <c r="U855" i="5" s="1"/>
  <c r="T354" i="5"/>
  <c r="U354" i="5" s="1"/>
  <c r="T795" i="5"/>
  <c r="U795" i="5" s="1"/>
  <c r="T220" i="5"/>
  <c r="U220" i="5" s="1"/>
  <c r="T1145" i="5"/>
  <c r="U1145" i="5" s="1"/>
  <c r="T1135" i="5"/>
  <c r="U1135" i="5" s="1"/>
  <c r="T605" i="5"/>
  <c r="U605" i="5" s="1"/>
  <c r="T476" i="5"/>
  <c r="U476" i="5" s="1"/>
  <c r="T890" i="5"/>
  <c r="U890" i="5" s="1"/>
  <c r="T1259" i="5"/>
  <c r="U1259" i="5" s="1"/>
  <c r="T338" i="5"/>
  <c r="U338" i="5" s="1"/>
  <c r="T677" i="5"/>
  <c r="U677" i="5" s="1"/>
  <c r="T878" i="5"/>
  <c r="U878" i="5" s="1"/>
  <c r="R235" i="5"/>
  <c r="T691" i="5"/>
  <c r="U691" i="5" s="1"/>
  <c r="T1157" i="5"/>
  <c r="U1157" i="5" s="1"/>
  <c r="T652" i="5"/>
  <c r="U652" i="5" s="1"/>
  <c r="T885" i="5"/>
  <c r="U885" i="5" s="1"/>
  <c r="Q524" i="5"/>
  <c r="T707" i="5"/>
  <c r="U707" i="5" s="1"/>
  <c r="T812" i="5"/>
  <c r="U812" i="5" s="1"/>
  <c r="T877" i="5"/>
  <c r="U877" i="5" s="1"/>
  <c r="T216" i="5"/>
  <c r="U216" i="5" s="1"/>
  <c r="T975" i="5"/>
  <c r="U975" i="5" s="1"/>
  <c r="P710" i="5"/>
  <c r="T481" i="5"/>
  <c r="U481" i="5" s="1"/>
  <c r="T682" i="5"/>
  <c r="U682" i="5" s="1"/>
  <c r="T293" i="5"/>
  <c r="U293" i="5" s="1"/>
  <c r="T563" i="5"/>
  <c r="U563" i="5" s="1"/>
  <c r="T56" i="5"/>
  <c r="U56" i="5" s="1"/>
  <c r="T1179" i="5"/>
  <c r="U1179" i="5" s="1"/>
  <c r="T74" i="5"/>
  <c r="U74" i="5" s="1"/>
  <c r="T935" i="5"/>
  <c r="U935" i="5" s="1"/>
  <c r="T333" i="5"/>
  <c r="U333" i="5" s="1"/>
  <c r="T25" i="5"/>
  <c r="U25" i="5" s="1"/>
  <c r="Q710" i="5"/>
  <c r="T247" i="5"/>
  <c r="U247" i="5" s="1"/>
  <c r="S656" i="5"/>
  <c r="T656" i="5" s="1"/>
  <c r="U656" i="5" s="1"/>
  <c r="S1182" i="5"/>
  <c r="T1182" i="5" s="1"/>
  <c r="U1182" i="5" s="1"/>
  <c r="S1220" i="5"/>
  <c r="T1220" i="5" s="1"/>
  <c r="U1220" i="5" s="1"/>
  <c r="T646" i="5"/>
  <c r="U646" i="5" s="1"/>
  <c r="S924" i="5"/>
  <c r="T924" i="5" s="1"/>
  <c r="U924" i="5" s="1"/>
  <c r="S1184" i="5"/>
  <c r="T1184" i="5" s="1"/>
  <c r="U1184" i="5" s="1"/>
  <c r="S1209" i="5"/>
  <c r="T1209" i="5" s="1"/>
  <c r="U1209" i="5" s="1"/>
  <c r="T637" i="5"/>
  <c r="U637" i="5" s="1"/>
  <c r="T501" i="5"/>
  <c r="U501" i="5" s="1"/>
  <c r="T914" i="5"/>
  <c r="U914" i="5" s="1"/>
  <c r="T202" i="5"/>
  <c r="U202" i="5" s="1"/>
  <c r="T506" i="5"/>
  <c r="U506" i="5" s="1"/>
  <c r="S1040" i="5"/>
  <c r="T1040" i="5" s="1"/>
  <c r="U1040" i="5" s="1"/>
  <c r="T319" i="5"/>
  <c r="U319" i="5" s="1"/>
  <c r="S200" i="5"/>
  <c r="T200" i="5" s="1"/>
  <c r="U200" i="5" s="1"/>
  <c r="S629" i="5"/>
  <c r="T629" i="5" s="1"/>
  <c r="U629" i="5" s="1"/>
  <c r="T380" i="5"/>
  <c r="U380" i="5" s="1"/>
  <c r="S1208" i="5"/>
  <c r="T1208" i="5" s="1"/>
  <c r="U1208" i="5" s="1"/>
  <c r="S1131" i="5"/>
  <c r="T1131" i="5" s="1"/>
  <c r="U1131" i="5" s="1"/>
  <c r="S607" i="5"/>
  <c r="T607" i="5" s="1"/>
  <c r="U607" i="5" s="1"/>
  <c r="S156" i="5"/>
  <c r="T156" i="5" s="1"/>
  <c r="U156" i="5" s="1"/>
  <c r="T198" i="5"/>
  <c r="U198" i="5" s="1"/>
  <c r="T457" i="5"/>
  <c r="U457" i="5" s="1"/>
  <c r="T123" i="5"/>
  <c r="U123" i="5" s="1"/>
  <c r="T452" i="5"/>
  <c r="U452" i="5" s="1"/>
  <c r="T585" i="5"/>
  <c r="U585" i="5" s="1"/>
  <c r="T332" i="5"/>
  <c r="U332" i="5" s="1"/>
  <c r="T901" i="5"/>
  <c r="U901" i="5" s="1"/>
  <c r="T205" i="5"/>
  <c r="U205" i="5" s="1"/>
  <c r="S801" i="5"/>
  <c r="T801" i="5" s="1"/>
  <c r="U801" i="5" s="1"/>
  <c r="S403" i="5"/>
  <c r="T403" i="5" s="1"/>
  <c r="U403" i="5" s="1"/>
  <c r="S665" i="5"/>
  <c r="T665" i="5" s="1"/>
  <c r="U665" i="5" s="1"/>
  <c r="T560" i="5"/>
  <c r="U560" i="5" s="1"/>
  <c r="T455" i="5"/>
  <c r="U455" i="5" s="1"/>
  <c r="T887" i="5"/>
  <c r="U887" i="5" s="1"/>
  <c r="T57" i="5"/>
  <c r="U57" i="5" s="1"/>
  <c r="T395" i="5"/>
  <c r="U395" i="5" s="1"/>
  <c r="T105" i="5"/>
  <c r="U105" i="5" s="1"/>
  <c r="T577" i="5"/>
  <c r="U577" i="5" s="1"/>
  <c r="S1229" i="5"/>
  <c r="T1229" i="5" s="1"/>
  <c r="U1229" i="5" s="1"/>
  <c r="S1156" i="5"/>
  <c r="T1156" i="5" s="1"/>
  <c r="U1156" i="5" s="1"/>
  <c r="S970" i="5"/>
  <c r="T970" i="5" s="1"/>
  <c r="U970" i="5" s="1"/>
  <c r="S617" i="5"/>
  <c r="T617" i="5" s="1"/>
  <c r="U617" i="5" s="1"/>
  <c r="T408" i="5"/>
  <c r="U408" i="5" s="1"/>
  <c r="T1055" i="5"/>
  <c r="U1055" i="5" s="1"/>
  <c r="T1149" i="5"/>
  <c r="U1149" i="5" s="1"/>
  <c r="T1147" i="5"/>
  <c r="U1147" i="5" s="1"/>
  <c r="T1234" i="5"/>
  <c r="U1234" i="5" s="1"/>
  <c r="T829" i="5"/>
  <c r="U829" i="5" s="1"/>
  <c r="S24" i="5"/>
  <c r="T24" i="5" s="1"/>
  <c r="U24" i="5" s="1"/>
  <c r="S421" i="5"/>
  <c r="T421" i="5" s="1"/>
  <c r="U421" i="5" s="1"/>
  <c r="B49" i="12"/>
  <c r="B55" i="12" s="1"/>
  <c r="B56" i="12" s="1"/>
  <c r="N726" i="5"/>
  <c r="D115" i="12" s="1"/>
  <c r="E115" i="12" s="1"/>
  <c r="O530" i="5"/>
  <c r="D45" i="12" s="1"/>
  <c r="C45" i="12" s="1"/>
  <c r="P527" i="5"/>
  <c r="T114" i="5"/>
  <c r="U114" i="5" s="1"/>
  <c r="S68" i="5"/>
  <c r="T68" i="5" s="1"/>
  <c r="U68" i="5" s="1"/>
  <c r="S1069" i="5"/>
  <c r="T1069" i="5" s="1"/>
  <c r="U1069" i="5" s="1"/>
  <c r="S465" i="5"/>
  <c r="T465" i="5" s="1"/>
  <c r="U465" i="5" s="1"/>
  <c r="T370" i="5"/>
  <c r="U370" i="5" s="1"/>
  <c r="S1012" i="5"/>
  <c r="T1012" i="5" s="1"/>
  <c r="U1012" i="5" s="1"/>
  <c r="S1047" i="5"/>
  <c r="T1047" i="5" s="1"/>
  <c r="U1047" i="5" s="1"/>
  <c r="S988" i="5"/>
  <c r="T988" i="5" s="1"/>
  <c r="U988" i="5" s="1"/>
  <c r="S892" i="5"/>
  <c r="T892" i="5" s="1"/>
  <c r="U892" i="5" s="1"/>
  <c r="S1064" i="5"/>
  <c r="T1064" i="5" s="1"/>
  <c r="U1064" i="5" s="1"/>
  <c r="S561" i="5"/>
  <c r="T561" i="5" s="1"/>
  <c r="U561" i="5" s="1"/>
  <c r="S578" i="5"/>
  <c r="T578" i="5" s="1"/>
  <c r="U578" i="5" s="1"/>
  <c r="T518" i="5"/>
  <c r="U518" i="5" s="1"/>
  <c r="T1233" i="5"/>
  <c r="U1233" i="5" s="1"/>
  <c r="T1068" i="5"/>
  <c r="U1068" i="5" s="1"/>
  <c r="T203" i="5"/>
  <c r="U203" i="5" s="1"/>
  <c r="S71" i="5"/>
  <c r="T71" i="5" s="1"/>
  <c r="U71" i="5" s="1"/>
  <c r="S450" i="5"/>
  <c r="T450" i="5" s="1"/>
  <c r="U450" i="5" s="1"/>
  <c r="T224" i="5"/>
  <c r="U224" i="5" s="1"/>
  <c r="T226" i="5"/>
  <c r="U226" i="5" s="1"/>
  <c r="T1216" i="5"/>
  <c r="U1216" i="5" s="1"/>
  <c r="T393" i="5"/>
  <c r="U393" i="5" s="1"/>
  <c r="T58" i="5"/>
  <c r="U58" i="5" s="1"/>
  <c r="S813" i="5"/>
  <c r="T813" i="5" s="1"/>
  <c r="U813" i="5" s="1"/>
  <c r="S1029" i="5"/>
  <c r="T1029" i="5" s="1"/>
  <c r="U1029" i="5" s="1"/>
  <c r="S515" i="5"/>
  <c r="T515" i="5" s="1"/>
  <c r="U515" i="5" s="1"/>
  <c r="S1232" i="5"/>
  <c r="T1232" i="5" s="1"/>
  <c r="U1232" i="5" s="1"/>
  <c r="S1054" i="5"/>
  <c r="T1054" i="5" s="1"/>
  <c r="U1054" i="5" s="1"/>
  <c r="S307" i="5"/>
  <c r="T307" i="5" s="1"/>
  <c r="U307" i="5" s="1"/>
  <c r="S579" i="5"/>
  <c r="T579" i="5" s="1"/>
  <c r="U579" i="5" s="1"/>
  <c r="S876" i="5"/>
  <c r="T876" i="5" s="1"/>
  <c r="U876" i="5" s="1"/>
  <c r="S120" i="5"/>
  <c r="T120" i="5" s="1"/>
  <c r="U120" i="5" s="1"/>
  <c r="S948" i="5"/>
  <c r="T948" i="5" s="1"/>
  <c r="U948" i="5" s="1"/>
  <c r="S22" i="5"/>
  <c r="T22" i="5" s="1"/>
  <c r="U22" i="5" s="1"/>
  <c r="S91" i="5"/>
  <c r="T91" i="5" s="1"/>
  <c r="U91" i="5" s="1"/>
  <c r="S833" i="5"/>
  <c r="T833" i="5" s="1"/>
  <c r="U833" i="5" s="1"/>
  <c r="S80" i="5"/>
  <c r="T80" i="5" s="1"/>
  <c r="U80" i="5" s="1"/>
  <c r="T950" i="5"/>
  <c r="U950" i="5" s="1"/>
  <c r="T130" i="5"/>
  <c r="U130" i="5" s="1"/>
  <c r="S1248" i="5"/>
  <c r="T1248" i="5" s="1"/>
  <c r="U1248" i="5" s="1"/>
  <c r="S909" i="5"/>
  <c r="T909" i="5" s="1"/>
  <c r="U909" i="5" s="1"/>
  <c r="S591" i="5"/>
  <c r="T591" i="5" s="1"/>
  <c r="U591" i="5" s="1"/>
  <c r="S498" i="5"/>
  <c r="T498" i="5" s="1"/>
  <c r="U498" i="5" s="1"/>
  <c r="S300" i="5"/>
  <c r="T300" i="5" s="1"/>
  <c r="U300" i="5" s="1"/>
  <c r="S1129" i="5"/>
  <c r="T1129" i="5" s="1"/>
  <c r="U1129" i="5" s="1"/>
  <c r="T96" i="5"/>
  <c r="U96" i="5" s="1"/>
  <c r="T21" i="5"/>
  <c r="U21" i="5" s="1"/>
  <c r="S383" i="5"/>
  <c r="T383" i="5" s="1"/>
  <c r="U383" i="5" s="1"/>
  <c r="S1018" i="5"/>
  <c r="T1018" i="5" s="1"/>
  <c r="U1018" i="5" s="1"/>
  <c r="S34" i="5"/>
  <c r="T34" i="5" s="1"/>
  <c r="U34" i="5" s="1"/>
  <c r="S265" i="5"/>
  <c r="T265" i="5" s="1"/>
  <c r="U265" i="5" s="1"/>
  <c r="S933" i="5"/>
  <c r="T933" i="5" s="1"/>
  <c r="U933" i="5" s="1"/>
  <c r="S696" i="5"/>
  <c r="T696" i="5" s="1"/>
  <c r="U696" i="5" s="1"/>
  <c r="S267" i="5"/>
  <c r="T267" i="5" s="1"/>
  <c r="U267" i="5" s="1"/>
  <c r="S1099" i="5"/>
  <c r="T1099" i="5" s="1"/>
  <c r="U1099" i="5" s="1"/>
  <c r="S377" i="5"/>
  <c r="T377" i="5" s="1"/>
  <c r="U377" i="5" s="1"/>
  <c r="S991" i="5"/>
  <c r="T991" i="5" s="1"/>
  <c r="U991" i="5" s="1"/>
  <c r="S650" i="5"/>
  <c r="T650" i="5" s="1"/>
  <c r="U650" i="5" s="1"/>
  <c r="T72" i="5"/>
  <c r="U72" i="5" s="1"/>
  <c r="T315" i="5"/>
  <c r="U315" i="5" s="1"/>
  <c r="S19" i="5"/>
  <c r="T19" i="5" s="1"/>
  <c r="U19" i="5" s="1"/>
  <c r="S396" i="5"/>
  <c r="T396" i="5" s="1"/>
  <c r="U396" i="5" s="1"/>
  <c r="S1213" i="5"/>
  <c r="T1213" i="5" s="1"/>
  <c r="U1213" i="5" s="1"/>
  <c r="S233" i="5"/>
  <c r="T233" i="5" s="1"/>
  <c r="U233" i="5" s="1"/>
  <c r="S1257" i="5"/>
  <c r="T1257" i="5" s="1"/>
  <c r="U1257" i="5" s="1"/>
  <c r="T41" i="5"/>
  <c r="U41" i="5" s="1"/>
  <c r="T721" i="5"/>
  <c r="U721" i="5" s="1"/>
  <c r="T635" i="5"/>
  <c r="U635" i="5" s="1"/>
  <c r="T625" i="5"/>
  <c r="U625" i="5" s="1"/>
  <c r="T453" i="5"/>
  <c r="U453" i="5" s="1"/>
  <c r="S547" i="5"/>
  <c r="T547" i="5" s="1"/>
  <c r="U547" i="5" s="1"/>
  <c r="S63" i="5"/>
  <c r="T63" i="5" s="1"/>
  <c r="U63" i="5" s="1"/>
  <c r="C37" i="12"/>
  <c r="T99" i="5"/>
  <c r="U99" i="5" s="1"/>
  <c r="T48" i="5"/>
  <c r="U48" i="5" s="1"/>
  <c r="T910" i="5"/>
  <c r="U910" i="5" s="1"/>
  <c r="T894" i="5"/>
  <c r="U894" i="5" s="1"/>
  <c r="T171" i="5"/>
  <c r="U171" i="5" s="1"/>
  <c r="T161" i="5"/>
  <c r="U161" i="5" s="1"/>
  <c r="T176" i="5"/>
  <c r="U176" i="5" s="1"/>
  <c r="T101" i="5"/>
  <c r="U101" i="5" s="1"/>
  <c r="T817" i="5"/>
  <c r="U817" i="5" s="1"/>
  <c r="T818" i="5"/>
  <c r="U818" i="5" s="1"/>
  <c r="T42" i="5"/>
  <c r="U42" i="5" s="1"/>
  <c r="T222" i="5"/>
  <c r="U222" i="5" s="1"/>
  <c r="T175" i="5"/>
  <c r="U175" i="5" s="1"/>
  <c r="T860" i="5"/>
  <c r="U860" i="5" s="1"/>
  <c r="T75" i="5"/>
  <c r="U75" i="5" s="1"/>
  <c r="T83" i="5"/>
  <c r="U83" i="5" s="1"/>
  <c r="T50" i="5"/>
  <c r="U50" i="5" s="1"/>
  <c r="N261" i="2"/>
  <c r="B24" i="12" s="1"/>
  <c r="O261" i="2"/>
  <c r="D24" i="12" s="1"/>
  <c r="Q252" i="2"/>
  <c r="P261" i="2"/>
  <c r="S262" i="5"/>
  <c r="T262" i="5" s="1"/>
  <c r="U262" i="5" s="1"/>
  <c r="S1026" i="5"/>
  <c r="T1026" i="5" s="1"/>
  <c r="U1026" i="5" s="1"/>
  <c r="S204" i="5"/>
  <c r="T204" i="5" s="1"/>
  <c r="U204" i="5" s="1"/>
  <c r="S822" i="5"/>
  <c r="T822" i="5" s="1"/>
  <c r="U822" i="5" s="1"/>
  <c r="S305" i="5"/>
  <c r="T305" i="5" s="1"/>
  <c r="U305" i="5" s="1"/>
  <c r="S43" i="5"/>
  <c r="T43" i="5" s="1"/>
  <c r="U43" i="5" s="1"/>
  <c r="S647" i="5"/>
  <c r="T647" i="5" s="1"/>
  <c r="U647" i="5" s="1"/>
  <c r="S516" i="5"/>
  <c r="T516" i="5" s="1"/>
  <c r="U516" i="5" s="1"/>
  <c r="S40" i="5"/>
  <c r="T40" i="5" s="1"/>
  <c r="U40" i="5" s="1"/>
  <c r="S1087" i="5"/>
  <c r="T1087" i="5" s="1"/>
  <c r="U1087" i="5" s="1"/>
  <c r="S329" i="5"/>
  <c r="T329" i="5" s="1"/>
  <c r="U329" i="5" s="1"/>
  <c r="S521" i="5"/>
  <c r="T521" i="5" s="1"/>
  <c r="U521" i="5" s="1"/>
  <c r="S466" i="5"/>
  <c r="T466" i="5" s="1"/>
  <c r="U466" i="5" s="1"/>
  <c r="S324" i="5"/>
  <c r="T324" i="5" s="1"/>
  <c r="U324" i="5" s="1"/>
  <c r="S939" i="5"/>
  <c r="T939" i="5" s="1"/>
  <c r="U939" i="5" s="1"/>
  <c r="S382" i="5"/>
  <c r="T382" i="5" s="1"/>
  <c r="U382" i="5" s="1"/>
  <c r="S1192" i="5"/>
  <c r="T1192" i="5" s="1"/>
  <c r="U1192" i="5" s="1"/>
  <c r="S124" i="5"/>
  <c r="T124" i="5" s="1"/>
  <c r="U124" i="5" s="1"/>
  <c r="S558" i="5"/>
  <c r="T558" i="5" s="1"/>
  <c r="U558" i="5" s="1"/>
  <c r="S178" i="5"/>
  <c r="T178" i="5" s="1"/>
  <c r="U178" i="5" s="1"/>
  <c r="S692" i="5"/>
  <c r="T692" i="5" s="1"/>
  <c r="U692" i="5" s="1"/>
  <c r="S522" i="5"/>
  <c r="T522" i="5" s="1"/>
  <c r="U522" i="5" s="1"/>
  <c r="S192" i="5"/>
  <c r="T192" i="5" s="1"/>
  <c r="U192" i="5" s="1"/>
  <c r="S671" i="5"/>
  <c r="T671" i="5" s="1"/>
  <c r="U671" i="5" s="1"/>
  <c r="S245" i="5"/>
  <c r="T245" i="5" s="1"/>
  <c r="U245" i="5" s="1"/>
  <c r="S13" i="5"/>
  <c r="T13" i="5" s="1"/>
  <c r="U13" i="5" s="1"/>
  <c r="S798" i="5"/>
  <c r="T798" i="5" s="1"/>
  <c r="U798" i="5" s="1"/>
  <c r="S208" i="5"/>
  <c r="T208" i="5" s="1"/>
  <c r="U208" i="5" s="1"/>
  <c r="S73" i="5"/>
  <c r="T73" i="5" s="1"/>
  <c r="U73" i="5" s="1"/>
  <c r="S357" i="5"/>
  <c r="T357" i="5" s="1"/>
  <c r="U357" i="5" s="1"/>
  <c r="S905" i="5"/>
  <c r="T905" i="5" s="1"/>
  <c r="U905" i="5" s="1"/>
  <c r="S576" i="5"/>
  <c r="T576" i="5" s="1"/>
  <c r="U576" i="5" s="1"/>
  <c r="S851" i="5"/>
  <c r="T851" i="5" s="1"/>
  <c r="U851" i="5" s="1"/>
  <c r="S150" i="5"/>
  <c r="T150" i="5" s="1"/>
  <c r="U150" i="5" s="1"/>
  <c r="S681" i="5"/>
  <c r="T681" i="5" s="1"/>
  <c r="U681" i="5" s="1"/>
  <c r="S714" i="5"/>
  <c r="T714" i="5" s="1"/>
  <c r="U714" i="5" s="1"/>
  <c r="S277" i="5"/>
  <c r="T277" i="5" s="1"/>
  <c r="U277" i="5" s="1"/>
  <c r="S1104" i="5"/>
  <c r="T1104" i="5" s="1"/>
  <c r="U1104" i="5" s="1"/>
  <c r="S555" i="5"/>
  <c r="T555" i="5" s="1"/>
  <c r="U555" i="5" s="1"/>
  <c r="S474" i="5"/>
  <c r="T474" i="5" s="1"/>
  <c r="U474" i="5" s="1"/>
  <c r="S648" i="5"/>
  <c r="T648" i="5" s="1"/>
  <c r="U648" i="5" s="1"/>
  <c r="S702" i="5"/>
  <c r="T702" i="5" s="1"/>
  <c r="U702" i="5" s="1"/>
  <c r="S378" i="5"/>
  <c r="T378" i="5" s="1"/>
  <c r="U378" i="5" s="1"/>
  <c r="S1164" i="5"/>
  <c r="T1164" i="5" s="1"/>
  <c r="U1164" i="5" s="1"/>
  <c r="S734" i="5"/>
  <c r="T734" i="5" s="1"/>
  <c r="U734" i="5" s="1"/>
  <c r="S653" i="5"/>
  <c r="T653" i="5" s="1"/>
  <c r="U653" i="5" s="1"/>
  <c r="S1256" i="5"/>
  <c r="T1256" i="5" s="1"/>
  <c r="U1256" i="5" s="1"/>
  <c r="S248" i="5"/>
  <c r="T248" i="5" s="1"/>
  <c r="U248" i="5" s="1"/>
  <c r="S510" i="5"/>
  <c r="T510" i="5" s="1"/>
  <c r="U510" i="5" s="1"/>
  <c r="S389" i="5"/>
  <c r="T389" i="5" s="1"/>
  <c r="U389" i="5" s="1"/>
  <c r="S301" i="5"/>
  <c r="T301" i="5" s="1"/>
  <c r="U301" i="5" s="1"/>
  <c r="S683" i="5"/>
  <c r="T683" i="5" s="1"/>
  <c r="U683" i="5" s="1"/>
  <c r="S259" i="5"/>
  <c r="T259" i="5" s="1"/>
  <c r="U259" i="5" s="1"/>
  <c r="S149" i="5"/>
  <c r="T149" i="5" s="1"/>
  <c r="U149" i="5" s="1"/>
  <c r="S473" i="5"/>
  <c r="T473" i="5" s="1"/>
  <c r="U473" i="5" s="1"/>
  <c r="S1057" i="5"/>
  <c r="T1057" i="5" s="1"/>
  <c r="U1057" i="5" s="1"/>
  <c r="S557" i="5"/>
  <c r="T557" i="5" s="1"/>
  <c r="U557" i="5" s="1"/>
  <c r="S1065" i="5"/>
  <c r="T1065" i="5" s="1"/>
  <c r="U1065" i="5" s="1"/>
  <c r="S660" i="5"/>
  <c r="T660" i="5" s="1"/>
  <c r="U660" i="5" s="1"/>
  <c r="S497" i="5"/>
  <c r="T497" i="5" s="1"/>
  <c r="U497" i="5" s="1"/>
  <c r="S961" i="5"/>
  <c r="T961" i="5" s="1"/>
  <c r="U961" i="5" s="1"/>
  <c r="S158" i="5"/>
  <c r="T158" i="5" s="1"/>
  <c r="U158" i="5" s="1"/>
  <c r="S572" i="5"/>
  <c r="T572" i="5" s="1"/>
  <c r="U572" i="5" s="1"/>
  <c r="S94" i="5"/>
  <c r="T94" i="5" s="1"/>
  <c r="U94" i="5" s="1"/>
  <c r="S700" i="5"/>
  <c r="T700" i="5" s="1"/>
  <c r="U700" i="5" s="1"/>
  <c r="R160" i="8"/>
  <c r="S160" i="8" s="1"/>
  <c r="T160" i="8" s="1"/>
  <c r="U160" i="8" s="1"/>
  <c r="R161" i="8"/>
  <c r="R86" i="8"/>
  <c r="S86" i="8" s="1"/>
  <c r="T86" i="8" s="1"/>
  <c r="U86" i="8" s="1"/>
  <c r="R25" i="8"/>
  <c r="R66" i="8"/>
  <c r="R58" i="8"/>
  <c r="S58" i="8" s="1"/>
  <c r="T58" i="8" s="1"/>
  <c r="U58" i="8" s="1"/>
  <c r="R83" i="8"/>
  <c r="R30" i="8"/>
  <c r="R129" i="8"/>
  <c r="R77" i="8"/>
  <c r="R151" i="8"/>
  <c r="R105" i="8"/>
  <c r="S105" i="8" s="1"/>
  <c r="T105" i="8" s="1"/>
  <c r="U105" i="8" s="1"/>
  <c r="R79" i="8"/>
  <c r="S79" i="8" s="1"/>
  <c r="T79" i="8" s="1"/>
  <c r="U79" i="8" s="1"/>
  <c r="R95" i="8"/>
  <c r="R18" i="8"/>
  <c r="S18" i="8" s="1"/>
  <c r="T18" i="8" s="1"/>
  <c r="U18" i="8" s="1"/>
  <c r="R43" i="8"/>
  <c r="R157" i="8"/>
  <c r="R101" i="8"/>
  <c r="S101" i="8" s="1"/>
  <c r="T101" i="8" s="1"/>
  <c r="U101" i="8" s="1"/>
  <c r="R119" i="8"/>
  <c r="R96" i="8"/>
  <c r="S96" i="8" s="1"/>
  <c r="T96" i="8" s="1"/>
  <c r="U96" i="8" s="1"/>
  <c r="R85" i="8"/>
  <c r="S85" i="8" s="1"/>
  <c r="T85" i="8" s="1"/>
  <c r="U85" i="8" s="1"/>
  <c r="R26" i="8"/>
  <c r="S26" i="8" s="1"/>
  <c r="T26" i="8" s="1"/>
  <c r="U26" i="8" s="1"/>
  <c r="R106" i="8"/>
  <c r="R36" i="8"/>
  <c r="R108" i="8"/>
  <c r="R17" i="8"/>
  <c r="R80" i="8"/>
  <c r="S80" i="8" s="1"/>
  <c r="T80" i="8" s="1"/>
  <c r="U80" i="8" s="1"/>
  <c r="R23" i="8"/>
  <c r="S23" i="8" s="1"/>
  <c r="T23" i="8" s="1"/>
  <c r="U23" i="8" s="1"/>
  <c r="R15" i="8"/>
  <c r="R127" i="8"/>
  <c r="R139" i="8"/>
  <c r="S139" i="8" s="1"/>
  <c r="T139" i="8" s="1"/>
  <c r="U139" i="8" s="1"/>
  <c r="R115" i="8"/>
  <c r="S115" i="8" s="1"/>
  <c r="R87" i="8"/>
  <c r="S87" i="8" s="1"/>
  <c r="T87" i="8" s="1"/>
  <c r="U87" i="8" s="1"/>
  <c r="R50" i="8"/>
  <c r="R65" i="8"/>
  <c r="R136" i="8"/>
  <c r="R137" i="8"/>
  <c r="S137" i="8" s="1"/>
  <c r="T137" i="8" s="1"/>
  <c r="U137" i="8" s="1"/>
  <c r="R31" i="8"/>
  <c r="R88" i="8"/>
  <c r="R64" i="8"/>
  <c r="R94" i="8"/>
  <c r="S94" i="8" s="1"/>
  <c r="T94" i="8" s="1"/>
  <c r="U94" i="8" s="1"/>
  <c r="R99" i="8"/>
  <c r="R120" i="8"/>
  <c r="R138" i="8"/>
  <c r="R92" i="8"/>
  <c r="R84" i="8"/>
  <c r="S84" i="8" s="1"/>
  <c r="T84" i="8" s="1"/>
  <c r="U84" i="8" s="1"/>
  <c r="R74" i="8"/>
  <c r="S74" i="8" s="1"/>
  <c r="T74" i="8" s="1"/>
  <c r="U74" i="8" s="1"/>
  <c r="R29" i="8"/>
  <c r="S29" i="8" s="1"/>
  <c r="T29" i="8" s="1"/>
  <c r="U29" i="8" s="1"/>
  <c r="R91" i="8"/>
  <c r="R116" i="8"/>
  <c r="R114" i="8"/>
  <c r="R93" i="8"/>
  <c r="S93" i="8" s="1"/>
  <c r="T93" i="8" s="1"/>
  <c r="U93" i="8" s="1"/>
  <c r="R52" i="8"/>
  <c r="S52" i="8" s="1"/>
  <c r="T52" i="8" s="1"/>
  <c r="U52" i="8" s="1"/>
  <c r="R22" i="8"/>
  <c r="R107" i="8"/>
  <c r="R104" i="8"/>
  <c r="R140" i="8"/>
  <c r="R55" i="8"/>
  <c r="S55" i="8" s="1"/>
  <c r="T55" i="8" s="1"/>
  <c r="U55" i="8" s="1"/>
  <c r="R82" i="8"/>
  <c r="R118" i="8"/>
  <c r="R121" i="8"/>
  <c r="R130" i="8"/>
  <c r="S130" i="8" s="1"/>
  <c r="T130" i="8" s="1"/>
  <c r="U130" i="8" s="1"/>
  <c r="R34" i="8"/>
  <c r="R128" i="8"/>
  <c r="R24" i="8"/>
  <c r="S24" i="8" s="1"/>
  <c r="T24" i="8" s="1"/>
  <c r="U24" i="8" s="1"/>
  <c r="R68" i="8"/>
  <c r="R97" i="8"/>
  <c r="R75" i="8"/>
  <c r="R35" i="8"/>
  <c r="R98" i="8"/>
  <c r="R89" i="8"/>
  <c r="S89" i="8" s="1"/>
  <c r="T89" i="8" s="1"/>
  <c r="U89" i="8" s="1"/>
  <c r="R78" i="8"/>
  <c r="R70" i="8"/>
  <c r="R73" i="8"/>
  <c r="R71" i="8"/>
  <c r="R54" i="8"/>
  <c r="R117" i="8"/>
  <c r="R90" i="8"/>
  <c r="S90" i="8" s="1"/>
  <c r="T90" i="8" s="1"/>
  <c r="U90" i="8" s="1"/>
  <c r="R76" i="8"/>
  <c r="R20" i="8"/>
  <c r="R28" i="8"/>
  <c r="R48" i="8"/>
  <c r="S48" i="8" s="1"/>
  <c r="T48" i="8" s="1"/>
  <c r="U48" i="8" s="1"/>
  <c r="R100" i="8"/>
  <c r="R13" i="8"/>
  <c r="R81" i="8"/>
  <c r="R21" i="8"/>
  <c r="R51" i="8"/>
  <c r="R103" i="8"/>
  <c r="R32" i="8"/>
  <c r="S32" i="8" s="1"/>
  <c r="T32" i="8" s="1"/>
  <c r="U32" i="8" s="1"/>
  <c r="R102" i="8"/>
  <c r="R72" i="8"/>
  <c r="S72" i="8" s="1"/>
  <c r="T72" i="8" s="1"/>
  <c r="U72" i="8" s="1"/>
  <c r="R46" i="8"/>
  <c r="R154" i="8"/>
  <c r="S154" i="8" s="1"/>
  <c r="T154" i="8" s="1"/>
  <c r="U154" i="8" s="1"/>
  <c r="R122" i="8"/>
  <c r="R19" i="8"/>
  <c r="R45" i="8"/>
  <c r="R33" i="8"/>
  <c r="R27" i="8"/>
  <c r="R67" i="8"/>
  <c r="R57" i="8"/>
  <c r="R56" i="8"/>
  <c r="R69" i="8"/>
  <c r="R53" i="8"/>
  <c r="R47" i="8"/>
  <c r="S47" i="8" s="1"/>
  <c r="T47" i="8" s="1"/>
  <c r="U47" i="8" s="1"/>
  <c r="R453" i="2"/>
  <c r="S162" i="5"/>
  <c r="T162" i="5" s="1"/>
  <c r="U162" i="5" s="1"/>
  <c r="S364" i="5"/>
  <c r="T364" i="5" s="1"/>
  <c r="U364" i="5" s="1"/>
  <c r="S257" i="5"/>
  <c r="T257" i="5" s="1"/>
  <c r="U257" i="5" s="1"/>
  <c r="S634" i="5"/>
  <c r="T634" i="5" s="1"/>
  <c r="U634" i="5" s="1"/>
  <c r="R710" i="5"/>
  <c r="E51" i="12" s="1"/>
  <c r="S992" i="5"/>
  <c r="T992" i="5" s="1"/>
  <c r="U992" i="5" s="1"/>
  <c r="S386" i="5"/>
  <c r="T386" i="5" s="1"/>
  <c r="U386" i="5" s="1"/>
  <c r="S494" i="5"/>
  <c r="T494" i="5" s="1"/>
  <c r="U494" i="5" s="1"/>
  <c r="T66" i="5"/>
  <c r="U66" i="5" s="1"/>
  <c r="T77" i="2"/>
  <c r="U77" i="2" s="1"/>
  <c r="S44" i="2"/>
  <c r="T44" i="2" s="1"/>
  <c r="U44" i="2" s="1"/>
  <c r="S196" i="2"/>
  <c r="T196" i="2" s="1"/>
  <c r="U196" i="2" s="1"/>
  <c r="S908" i="5"/>
  <c r="T908" i="5" s="1"/>
  <c r="U908" i="5" s="1"/>
  <c r="S180" i="5"/>
  <c r="T180" i="5" s="1"/>
  <c r="U180" i="5" s="1"/>
  <c r="S1217" i="5"/>
  <c r="T1217" i="5" s="1"/>
  <c r="U1217" i="5" s="1"/>
  <c r="S353" i="5"/>
  <c r="T353" i="5" s="1"/>
  <c r="U353" i="5" s="1"/>
  <c r="S695" i="5"/>
  <c r="T695" i="5" s="1"/>
  <c r="U695" i="5" s="1"/>
  <c r="S571" i="5"/>
  <c r="T571" i="5" s="1"/>
  <c r="U571" i="5" s="1"/>
  <c r="S170" i="5"/>
  <c r="T170" i="5" s="1"/>
  <c r="U170" i="5" s="1"/>
  <c r="S514" i="5"/>
  <c r="T514" i="5" s="1"/>
  <c r="U514" i="5" s="1"/>
  <c r="S360" i="5"/>
  <c r="T360" i="5" s="1"/>
  <c r="U360" i="5" s="1"/>
  <c r="S489" i="5"/>
  <c r="T489" i="5" s="1"/>
  <c r="U489" i="5" s="1"/>
  <c r="S512" i="5"/>
  <c r="T512" i="5" s="1"/>
  <c r="U512" i="5" s="1"/>
  <c r="S405" i="5"/>
  <c r="T405" i="5" s="1"/>
  <c r="U405" i="5" s="1"/>
  <c r="S213" i="5"/>
  <c r="S1227" i="5"/>
  <c r="T1227" i="5" s="1"/>
  <c r="U1227" i="5" s="1"/>
  <c r="S189" i="5"/>
  <c r="T189" i="5" s="1"/>
  <c r="U189" i="5" s="1"/>
  <c r="S1004" i="5"/>
  <c r="T1004" i="5" s="1"/>
  <c r="U1004" i="5" s="1"/>
  <c r="S369" i="5"/>
  <c r="T369" i="5" s="1"/>
  <c r="U369" i="5" s="1"/>
  <c r="S147" i="5"/>
  <c r="T147" i="5" s="1"/>
  <c r="U147" i="5" s="1"/>
  <c r="S165" i="5"/>
  <c r="T165" i="5" s="1"/>
  <c r="U165" i="5" s="1"/>
  <c r="S181" i="5"/>
  <c r="T181" i="5" s="1"/>
  <c r="U181" i="5" s="1"/>
  <c r="S623" i="5"/>
  <c r="T623" i="5" s="1"/>
  <c r="U623" i="5" s="1"/>
  <c r="S249" i="5"/>
  <c r="T249" i="5" s="1"/>
  <c r="U249" i="5" s="1"/>
  <c r="S631" i="5"/>
  <c r="T631" i="5" s="1"/>
  <c r="U631" i="5" s="1"/>
  <c r="R184" i="5"/>
  <c r="E37" i="12" s="1"/>
  <c r="S1188" i="5"/>
  <c r="T1188" i="5" s="1"/>
  <c r="U1188" i="5" s="1"/>
  <c r="S966" i="5"/>
  <c r="T966" i="5" s="1"/>
  <c r="U966" i="5" s="1"/>
  <c r="S64" i="5"/>
  <c r="T64" i="5" s="1"/>
  <c r="U64" i="5" s="1"/>
  <c r="S483" i="5"/>
  <c r="T483" i="5" s="1"/>
  <c r="U483" i="5" s="1"/>
  <c r="S708" i="5"/>
  <c r="T708" i="5" s="1"/>
  <c r="U708" i="5" s="1"/>
  <c r="S701" i="5"/>
  <c r="T701" i="5" s="1"/>
  <c r="U701" i="5" s="1"/>
  <c r="S1127" i="5"/>
  <c r="T1127" i="5" s="1"/>
  <c r="U1127" i="5" s="1"/>
  <c r="R524" i="5"/>
  <c r="E43" i="12" s="1"/>
  <c r="S1072" i="5"/>
  <c r="T1072" i="5" s="1"/>
  <c r="U1072" i="5" s="1"/>
  <c r="S1089" i="5"/>
  <c r="T1089" i="5" s="1"/>
  <c r="U1089" i="5" s="1"/>
  <c r="S100" i="5"/>
  <c r="T100" i="5" s="1"/>
  <c r="U100" i="5" s="1"/>
  <c r="S116" i="5"/>
  <c r="T116" i="5" s="1"/>
  <c r="U116" i="5" s="1"/>
  <c r="S358" i="5"/>
  <c r="T358" i="5" s="1"/>
  <c r="U358" i="5" s="1"/>
  <c r="S61" i="5"/>
  <c r="T61" i="5" s="1"/>
  <c r="U61" i="5" s="1"/>
  <c r="S488" i="5"/>
  <c r="T488" i="5" s="1"/>
  <c r="U488" i="5" s="1"/>
  <c r="S604" i="5"/>
  <c r="T604" i="5" s="1"/>
  <c r="U604" i="5" s="1"/>
  <c r="S698" i="5"/>
  <c r="T698" i="5" s="1"/>
  <c r="U698" i="5" s="1"/>
  <c r="S460" i="5"/>
  <c r="T460" i="5" s="1"/>
  <c r="U460" i="5" s="1"/>
  <c r="S132" i="5"/>
  <c r="T132" i="5" s="1"/>
  <c r="U132" i="5" s="1"/>
  <c r="S569" i="5"/>
  <c r="T569" i="5" s="1"/>
  <c r="U569" i="5" s="1"/>
  <c r="S1225" i="5"/>
  <c r="T1225" i="5" s="1"/>
  <c r="S328" i="5"/>
  <c r="T328" i="5" s="1"/>
  <c r="U328" i="5" s="1"/>
  <c r="S1142" i="5"/>
  <c r="T1142" i="5" s="1"/>
  <c r="S1260" i="5"/>
  <c r="T1260" i="5" s="1"/>
  <c r="U1260" i="5" s="1"/>
  <c r="R595" i="5"/>
  <c r="E47" i="12" s="1"/>
  <c r="S1173" i="5"/>
  <c r="T1173" i="5" s="1"/>
  <c r="U1173" i="5" s="1"/>
  <c r="S720" i="5"/>
  <c r="T720" i="5" s="1"/>
  <c r="U720" i="5" s="1"/>
  <c r="S374" i="5"/>
  <c r="T374" i="5" s="1"/>
  <c r="U374" i="5" s="1"/>
  <c r="S363" i="5"/>
  <c r="T363" i="5" s="1"/>
  <c r="U363" i="5" s="1"/>
  <c r="S719" i="5"/>
  <c r="T719" i="5" s="1"/>
  <c r="U719" i="5" s="1"/>
  <c r="R723" i="5"/>
  <c r="E53" i="12" s="1"/>
  <c r="S17" i="5"/>
  <c r="T17" i="5" s="1"/>
  <c r="S429" i="5"/>
  <c r="T429" i="5" s="1"/>
  <c r="U429" i="5" s="1"/>
  <c r="S437" i="5"/>
  <c r="T437" i="5" s="1"/>
  <c r="U437" i="5" s="1"/>
  <c r="R674" i="5"/>
  <c r="E49" i="12" s="1"/>
  <c r="S81" i="2"/>
  <c r="T81" i="2" s="1"/>
  <c r="U81" i="2" s="1"/>
  <c r="S451" i="2"/>
  <c r="T451" i="2" s="1"/>
  <c r="U451" i="2" s="1"/>
  <c r="S456" i="2"/>
  <c r="T456" i="2" s="1"/>
  <c r="U456" i="2" s="1"/>
  <c r="R298" i="2"/>
  <c r="S298" i="2" s="1"/>
  <c r="T298" i="2" s="1"/>
  <c r="U298" i="2" s="1"/>
  <c r="S347" i="2"/>
  <c r="T347" i="2" s="1"/>
  <c r="U347" i="2" s="1"/>
  <c r="S203" i="2"/>
  <c r="T203" i="2" s="1"/>
  <c r="U203" i="2" s="1"/>
  <c r="Q241" i="2"/>
  <c r="Q278" i="2" s="1"/>
  <c r="P278" i="2"/>
  <c r="S448" i="2"/>
  <c r="T448" i="2" s="1"/>
  <c r="U448" i="2" s="1"/>
  <c r="S171" i="2"/>
  <c r="T171" i="2" s="1"/>
  <c r="U171" i="2" s="1"/>
  <c r="S396" i="2"/>
  <c r="T396" i="2" s="1"/>
  <c r="U396" i="2" s="1"/>
  <c r="S411" i="2"/>
  <c r="T411" i="2" s="1"/>
  <c r="U411" i="2" s="1"/>
  <c r="S488" i="2"/>
  <c r="T488" i="2" s="1"/>
  <c r="U488" i="2" s="1"/>
  <c r="S990" i="5"/>
  <c r="T990" i="5" s="1"/>
  <c r="U990" i="5" s="1"/>
  <c r="R398" i="5"/>
  <c r="E41" i="12" s="1"/>
  <c r="U713" i="5"/>
  <c r="S276" i="2"/>
  <c r="R278" i="2"/>
  <c r="E26" i="12" s="1"/>
  <c r="S349" i="5"/>
  <c r="T349" i="5" s="1"/>
  <c r="S86" i="19"/>
  <c r="T86" i="19" s="1"/>
  <c r="O44" i="8"/>
  <c r="P44" i="8" s="1"/>
  <c r="N414" i="2"/>
  <c r="O413" i="2"/>
  <c r="P413" i="2" s="1"/>
  <c r="Q413" i="2" s="1"/>
  <c r="S80" i="19"/>
  <c r="T80" i="19"/>
  <c r="U80" i="19"/>
  <c r="S346" i="18"/>
  <c r="U346" i="18" s="1"/>
  <c r="T346" i="18"/>
  <c r="S147" i="18"/>
  <c r="R176" i="18"/>
  <c r="S92" i="19"/>
  <c r="T92" i="19" s="1"/>
  <c r="S106" i="19"/>
  <c r="U106" i="19" s="1"/>
  <c r="T106" i="19"/>
  <c r="N49" i="8"/>
  <c r="O48" i="8"/>
  <c r="P48" i="8" s="1"/>
  <c r="Q48" i="8" s="1"/>
  <c r="P43" i="8"/>
  <c r="N307" i="18"/>
  <c r="O315" i="2"/>
  <c r="P315" i="2" s="1"/>
  <c r="Q315" i="2" s="1"/>
  <c r="N316" i="2"/>
  <c r="S315" i="2"/>
  <c r="T315" i="2" s="1"/>
  <c r="U315" i="2" s="1"/>
  <c r="S113" i="18"/>
  <c r="T113" i="18" s="1"/>
  <c r="U113" i="18" s="1"/>
  <c r="O179" i="2"/>
  <c r="N180" i="2"/>
  <c r="Q58" i="18"/>
  <c r="P120" i="18"/>
  <c r="T115" i="8"/>
  <c r="U194" i="18"/>
  <c r="U196" i="18" s="1"/>
  <c r="R112" i="19"/>
  <c r="Q117" i="19"/>
  <c r="U164" i="18"/>
  <c r="S179" i="2"/>
  <c r="T179" i="2" s="1"/>
  <c r="U179" i="2" s="1"/>
  <c r="R18" i="2"/>
  <c r="U292" i="2"/>
  <c r="T285" i="18"/>
  <c r="T295" i="18" s="1"/>
  <c r="S295" i="18"/>
  <c r="S165" i="18"/>
  <c r="T165" i="18" s="1"/>
  <c r="N117" i="2"/>
  <c r="N150" i="2" s="1"/>
  <c r="O116" i="2"/>
  <c r="P116" i="2" s="1"/>
  <c r="Q116" i="2" s="1"/>
  <c r="S116" i="2"/>
  <c r="T116" i="2" s="1"/>
  <c r="U116" i="2" s="1"/>
  <c r="O26" i="2"/>
  <c r="N27" i="2"/>
  <c r="N98" i="2" s="1"/>
  <c r="O181" i="2"/>
  <c r="P181" i="2" s="1"/>
  <c r="Q181" i="2" s="1"/>
  <c r="N182" i="2"/>
  <c r="S181" i="2"/>
  <c r="T181" i="2" s="1"/>
  <c r="U181" i="2" s="1"/>
  <c r="N154" i="2"/>
  <c r="O153" i="2"/>
  <c r="P295" i="18"/>
  <c r="U124" i="18"/>
  <c r="T232" i="5"/>
  <c r="U232" i="5" s="1"/>
  <c r="U229" i="5"/>
  <c r="U469" i="2"/>
  <c r="S413" i="2"/>
  <c r="T413" i="2" s="1"/>
  <c r="U413" i="2" s="1"/>
  <c r="U1239" i="5"/>
  <c r="U14" i="2"/>
  <c r="T288" i="2"/>
  <c r="G28" i="12" s="1"/>
  <c r="S88" i="19"/>
  <c r="U88" i="19" s="1"/>
  <c r="T88" i="19"/>
  <c r="Q121" i="19"/>
  <c r="Q124" i="19" s="1"/>
  <c r="P124" i="19"/>
  <c r="O307" i="2"/>
  <c r="P307" i="2" s="1"/>
  <c r="Q307" i="2" s="1"/>
  <c r="N308" i="2"/>
  <c r="S307" i="2"/>
  <c r="T307" i="2" s="1"/>
  <c r="U307" i="2" s="1"/>
  <c r="S87" i="18"/>
  <c r="S100" i="18"/>
  <c r="T100" i="18" s="1"/>
  <c r="U100" i="18" s="1"/>
  <c r="U293" i="18"/>
  <c r="U295" i="18" s="1"/>
  <c r="P14" i="8"/>
  <c r="T124" i="19"/>
  <c r="U122" i="19"/>
  <c r="U124" i="19" s="1"/>
  <c r="T406" i="18"/>
  <c r="U406" i="18" s="1"/>
  <c r="U1006" i="5"/>
  <c r="P459" i="2"/>
  <c r="C22" i="12"/>
  <c r="U788" i="5"/>
  <c r="E39" i="12"/>
  <c r="P486" i="2"/>
  <c r="S153" i="2"/>
  <c r="U235" i="2"/>
  <c r="S22" i="2"/>
  <c r="T22" i="2" s="1"/>
  <c r="U22" i="2" s="1"/>
  <c r="S115" i="2"/>
  <c r="T115" i="2" s="1"/>
  <c r="U115" i="2" s="1"/>
  <c r="S462" i="2"/>
  <c r="T462" i="2" s="1"/>
  <c r="U462" i="2" s="1"/>
  <c r="U288" i="2"/>
  <c r="H28" i="12" s="1"/>
  <c r="T294" i="2"/>
  <c r="U294" i="2" s="1"/>
  <c r="Q40" i="19"/>
  <c r="Q53" i="19" s="1"/>
  <c r="P53" i="19"/>
  <c r="S83" i="19"/>
  <c r="N16" i="8"/>
  <c r="O15" i="8"/>
  <c r="P15" i="8" s="1"/>
  <c r="Q15" i="8" s="1"/>
  <c r="S15" i="8"/>
  <c r="T15" i="8" s="1"/>
  <c r="U15" i="8" s="1"/>
  <c r="O301" i="2"/>
  <c r="N302" i="2"/>
  <c r="S301" i="2"/>
  <c r="T301" i="2" s="1"/>
  <c r="U301" i="2" s="1"/>
  <c r="S116" i="18"/>
  <c r="T116" i="18" s="1"/>
  <c r="S109" i="19"/>
  <c r="T101" i="19"/>
  <c r="T109" i="19" s="1"/>
  <c r="T115" i="19"/>
  <c r="U115" i="19" s="1"/>
  <c r="S115" i="19"/>
  <c r="T73" i="19"/>
  <c r="U73" i="19"/>
  <c r="R97" i="19"/>
  <c r="S73" i="19"/>
  <c r="S97" i="19" s="1"/>
  <c r="S46" i="19"/>
  <c r="S53" i="19" s="1"/>
  <c r="R53" i="19"/>
  <c r="S382" i="18"/>
  <c r="T382" i="18"/>
  <c r="U382" i="18" s="1"/>
  <c r="P305" i="18"/>
  <c r="Q302" i="18"/>
  <c r="P123" i="18"/>
  <c r="O127" i="18"/>
  <c r="S171" i="18"/>
  <c r="U171" i="18" s="1"/>
  <c r="T171" i="18"/>
  <c r="N343" i="2"/>
  <c r="N352" i="2" s="1"/>
  <c r="B32" i="12" s="1"/>
  <c r="O342" i="2"/>
  <c r="S75" i="18"/>
  <c r="T75" i="18" s="1"/>
  <c r="T64" i="18"/>
  <c r="U64" i="18" s="1"/>
  <c r="S64" i="18"/>
  <c r="O307" i="18"/>
  <c r="T416" i="18"/>
  <c r="U416" i="18" s="1"/>
  <c r="B60" i="12"/>
  <c r="R109" i="19"/>
  <c r="R117" i="19" s="1"/>
  <c r="R128" i="19" s="1"/>
  <c r="U235" i="18"/>
  <c r="U237" i="18" s="1"/>
  <c r="T697" i="5"/>
  <c r="U697" i="5" s="1"/>
  <c r="S26" i="2"/>
  <c r="T26" i="2" s="1"/>
  <c r="U26" i="2" s="1"/>
  <c r="S342" i="2"/>
  <c r="T342" i="2" s="1"/>
  <c r="U342" i="2" s="1"/>
  <c r="T1240" i="5"/>
  <c r="U1240" i="5" s="1"/>
  <c r="T458" i="2"/>
  <c r="S387" i="2"/>
  <c r="T387" i="2" s="1"/>
  <c r="U387" i="2" s="1"/>
  <c r="U1124" i="5"/>
  <c r="S220" i="2"/>
  <c r="R231" i="2" l="1"/>
  <c r="E20" i="12" s="1"/>
  <c r="R356" i="2"/>
  <c r="Q111" i="2"/>
  <c r="C20" i="12"/>
  <c r="T106" i="2"/>
  <c r="S108" i="2"/>
  <c r="C26" i="12"/>
  <c r="C10" i="12"/>
  <c r="C18" i="12"/>
  <c r="Q103" i="2"/>
  <c r="R101" i="2"/>
  <c r="U234" i="2"/>
  <c r="T310" i="2"/>
  <c r="U310" i="2" s="1"/>
  <c r="R384" i="2"/>
  <c r="S384" i="2" s="1"/>
  <c r="T384" i="2" s="1"/>
  <c r="U384" i="2" s="1"/>
  <c r="Q244" i="2"/>
  <c r="Q249" i="2" s="1"/>
  <c r="Q461" i="2"/>
  <c r="Q231" i="2" s="1"/>
  <c r="P231" i="2"/>
  <c r="B14" i="12"/>
  <c r="N331" i="2"/>
  <c r="C24" i="12"/>
  <c r="Q212" i="2"/>
  <c r="P216" i="2"/>
  <c r="D100" i="12"/>
  <c r="E100" i="12" s="1"/>
  <c r="D55" i="12"/>
  <c r="O726" i="5"/>
  <c r="S235" i="5"/>
  <c r="F39" i="12" s="1"/>
  <c r="P530" i="5"/>
  <c r="P726" i="5" s="1"/>
  <c r="Q527" i="5"/>
  <c r="C49" i="12"/>
  <c r="C55" i="12" s="1"/>
  <c r="Q261" i="2"/>
  <c r="R252" i="2"/>
  <c r="S674" i="5"/>
  <c r="F49" i="12" s="1"/>
  <c r="S524" i="5"/>
  <c r="F43" i="12" s="1"/>
  <c r="P179" i="2"/>
  <c r="S161" i="8"/>
  <c r="T161" i="8" s="1"/>
  <c r="U161" i="8" s="1"/>
  <c r="S184" i="5"/>
  <c r="F37" i="12" s="1"/>
  <c r="S595" i="5"/>
  <c r="F47" i="12" s="1"/>
  <c r="S69" i="8"/>
  <c r="T69" i="8" s="1"/>
  <c r="U69" i="8" s="1"/>
  <c r="S27" i="8"/>
  <c r="T27" i="8" s="1"/>
  <c r="U27" i="8" s="1"/>
  <c r="S122" i="8"/>
  <c r="T122" i="8" s="1"/>
  <c r="U122" i="8" s="1"/>
  <c r="S102" i="8"/>
  <c r="T102" i="8" s="1"/>
  <c r="U102" i="8" s="1"/>
  <c r="S21" i="8"/>
  <c r="T21" i="8" s="1"/>
  <c r="U21" i="8" s="1"/>
  <c r="S73" i="8"/>
  <c r="T73" i="8" s="1"/>
  <c r="U73" i="8" s="1"/>
  <c r="S98" i="8"/>
  <c r="T98" i="8" s="1"/>
  <c r="U98" i="8" s="1"/>
  <c r="S68" i="8"/>
  <c r="T68" i="8" s="1"/>
  <c r="U68" i="8" s="1"/>
  <c r="S22" i="8"/>
  <c r="T22" i="8" s="1"/>
  <c r="U22" i="8" s="1"/>
  <c r="S116" i="8"/>
  <c r="T116" i="8" s="1"/>
  <c r="U116" i="8" s="1"/>
  <c r="S99" i="8"/>
  <c r="T99" i="8" s="1"/>
  <c r="U99" i="8" s="1"/>
  <c r="S31" i="8"/>
  <c r="T31" i="8" s="1"/>
  <c r="U31" i="8" s="1"/>
  <c r="S50" i="8"/>
  <c r="T50" i="8" s="1"/>
  <c r="U50" i="8" s="1"/>
  <c r="S127" i="8"/>
  <c r="T127" i="8" s="1"/>
  <c r="S17" i="8"/>
  <c r="T17" i="8" s="1"/>
  <c r="U17" i="8" s="1"/>
  <c r="S95" i="8"/>
  <c r="T95" i="8" s="1"/>
  <c r="U95" i="8" s="1"/>
  <c r="S77" i="8"/>
  <c r="T77" i="8" s="1"/>
  <c r="U77" i="8" s="1"/>
  <c r="S453" i="2"/>
  <c r="T453" i="2" s="1"/>
  <c r="U453" i="2" s="1"/>
  <c r="S56" i="8"/>
  <c r="T56" i="8" s="1"/>
  <c r="U56" i="8" s="1"/>
  <c r="S33" i="8"/>
  <c r="T33" i="8" s="1"/>
  <c r="U33" i="8" s="1"/>
  <c r="S81" i="8"/>
  <c r="T81" i="8" s="1"/>
  <c r="U81" i="8" s="1"/>
  <c r="S28" i="8"/>
  <c r="T28" i="8" s="1"/>
  <c r="U28" i="8" s="1"/>
  <c r="S117" i="8"/>
  <c r="T117" i="8" s="1"/>
  <c r="U117" i="8" s="1"/>
  <c r="S70" i="8"/>
  <c r="T70" i="8" s="1"/>
  <c r="U70" i="8" s="1"/>
  <c r="S35" i="8"/>
  <c r="T35" i="8" s="1"/>
  <c r="U35" i="8" s="1"/>
  <c r="S121" i="8"/>
  <c r="T121" i="8" s="1"/>
  <c r="U121" i="8" s="1"/>
  <c r="S140" i="8"/>
  <c r="T140" i="8" s="1"/>
  <c r="U140" i="8" s="1"/>
  <c r="S91" i="8"/>
  <c r="T91" i="8" s="1"/>
  <c r="U91" i="8" s="1"/>
  <c r="S92" i="8"/>
  <c r="T92" i="8" s="1"/>
  <c r="U92" i="8" s="1"/>
  <c r="S108" i="8"/>
  <c r="T108" i="8" s="1"/>
  <c r="U108" i="8" s="1"/>
  <c r="S157" i="8"/>
  <c r="T157" i="8" s="1"/>
  <c r="U157" i="8" s="1"/>
  <c r="S129" i="8"/>
  <c r="T129" i="8" s="1"/>
  <c r="U129" i="8" s="1"/>
  <c r="S66" i="8"/>
  <c r="T66" i="8" s="1"/>
  <c r="U66" i="8" s="1"/>
  <c r="S57" i="8"/>
  <c r="T57" i="8" s="1"/>
  <c r="U57" i="8" s="1"/>
  <c r="S45" i="8"/>
  <c r="T45" i="8" s="1"/>
  <c r="U45" i="8" s="1"/>
  <c r="S46" i="8"/>
  <c r="T46" i="8" s="1"/>
  <c r="U46" i="8" s="1"/>
  <c r="S103" i="8"/>
  <c r="T103" i="8" s="1"/>
  <c r="U103" i="8" s="1"/>
  <c r="S13" i="8"/>
  <c r="T13" i="8" s="1"/>
  <c r="U13" i="8" s="1"/>
  <c r="S20" i="8"/>
  <c r="T20" i="8" s="1"/>
  <c r="U20" i="8" s="1"/>
  <c r="S54" i="8"/>
  <c r="T54" i="8" s="1"/>
  <c r="U54" i="8" s="1"/>
  <c r="S78" i="8"/>
  <c r="T78" i="8" s="1"/>
  <c r="U78" i="8" s="1"/>
  <c r="S75" i="8"/>
  <c r="T75" i="8" s="1"/>
  <c r="U75" i="8" s="1"/>
  <c r="S128" i="8"/>
  <c r="T128" i="8" s="1"/>
  <c r="U128" i="8" s="1"/>
  <c r="S118" i="8"/>
  <c r="T118" i="8" s="1"/>
  <c r="U118" i="8" s="1"/>
  <c r="S104" i="8"/>
  <c r="T104" i="8" s="1"/>
  <c r="U104" i="8" s="1"/>
  <c r="S138" i="8"/>
  <c r="T138" i="8" s="1"/>
  <c r="U138" i="8" s="1"/>
  <c r="S64" i="8"/>
  <c r="T64" i="8" s="1"/>
  <c r="R110" i="8"/>
  <c r="S136" i="8"/>
  <c r="S36" i="8"/>
  <c r="T36" i="8" s="1"/>
  <c r="U36" i="8" s="1"/>
  <c r="S43" i="8"/>
  <c r="T43" i="8" s="1"/>
  <c r="U43" i="8" s="1"/>
  <c r="S30" i="8"/>
  <c r="T30" i="8" s="1"/>
  <c r="U30" i="8" s="1"/>
  <c r="S25" i="8"/>
  <c r="T25" i="8" s="1"/>
  <c r="U25" i="8" s="1"/>
  <c r="S53" i="8"/>
  <c r="T53" i="8" s="1"/>
  <c r="U53" i="8" s="1"/>
  <c r="S67" i="8"/>
  <c r="T67" i="8" s="1"/>
  <c r="U67" i="8" s="1"/>
  <c r="S19" i="8"/>
  <c r="T19" i="8" s="1"/>
  <c r="U19" i="8" s="1"/>
  <c r="S51" i="8"/>
  <c r="T51" i="8" s="1"/>
  <c r="U51" i="8" s="1"/>
  <c r="S100" i="8"/>
  <c r="T100" i="8" s="1"/>
  <c r="U100" i="8" s="1"/>
  <c r="S76" i="8"/>
  <c r="T76" i="8" s="1"/>
  <c r="U76" i="8" s="1"/>
  <c r="S71" i="8"/>
  <c r="T71" i="8" s="1"/>
  <c r="U71" i="8" s="1"/>
  <c r="S97" i="8"/>
  <c r="T97" i="8" s="1"/>
  <c r="U97" i="8" s="1"/>
  <c r="S34" i="8"/>
  <c r="T34" i="8" s="1"/>
  <c r="U34" i="8" s="1"/>
  <c r="S82" i="8"/>
  <c r="T82" i="8" s="1"/>
  <c r="U82" i="8" s="1"/>
  <c r="S107" i="8"/>
  <c r="T107" i="8" s="1"/>
  <c r="U107" i="8" s="1"/>
  <c r="S114" i="8"/>
  <c r="T114" i="8" s="1"/>
  <c r="U114" i="8" s="1"/>
  <c r="R124" i="8"/>
  <c r="S120" i="8"/>
  <c r="T120" i="8" s="1"/>
  <c r="S88" i="8"/>
  <c r="T88" i="8" s="1"/>
  <c r="U88" i="8" s="1"/>
  <c r="S65" i="8"/>
  <c r="T65" i="8" s="1"/>
  <c r="U65" i="8" s="1"/>
  <c r="S106" i="8"/>
  <c r="T106" i="8" s="1"/>
  <c r="U106" i="8" s="1"/>
  <c r="S119" i="8"/>
  <c r="T119" i="8" s="1"/>
  <c r="U119" i="8" s="1"/>
  <c r="S151" i="8"/>
  <c r="T151" i="8" s="1"/>
  <c r="U151" i="8" s="1"/>
  <c r="S83" i="8"/>
  <c r="T83" i="8" s="1"/>
  <c r="U83" i="8" s="1"/>
  <c r="E12" i="12"/>
  <c r="F12" i="12"/>
  <c r="T213" i="5"/>
  <c r="U213" i="5" s="1"/>
  <c r="U235" i="5" s="1"/>
  <c r="H39" i="12" s="1"/>
  <c r="U723" i="5"/>
  <c r="H53" i="12" s="1"/>
  <c r="U17" i="5"/>
  <c r="U184" i="5" s="1"/>
  <c r="H37" i="12" s="1"/>
  <c r="T184" i="5"/>
  <c r="G37" i="12" s="1"/>
  <c r="U1225" i="5"/>
  <c r="U674" i="5" s="1"/>
  <c r="H49" i="12" s="1"/>
  <c r="T674" i="5"/>
  <c r="G49" i="12" s="1"/>
  <c r="U1142" i="5"/>
  <c r="U524" i="5" s="1"/>
  <c r="H43" i="12" s="1"/>
  <c r="T524" i="5"/>
  <c r="G43" i="12" s="1"/>
  <c r="T723" i="5"/>
  <c r="G53" i="12" s="1"/>
  <c r="S710" i="5"/>
  <c r="F51" i="12" s="1"/>
  <c r="S398" i="5"/>
  <c r="F41" i="12" s="1"/>
  <c r="S723" i="5"/>
  <c r="F53" i="12" s="1"/>
  <c r="U349" i="5"/>
  <c r="U398" i="5" s="1"/>
  <c r="H41" i="12" s="1"/>
  <c r="T398" i="5"/>
  <c r="G41" i="12" s="1"/>
  <c r="T276" i="2"/>
  <c r="S278" i="2"/>
  <c r="F26" i="12" s="1"/>
  <c r="S231" i="2"/>
  <c r="F20" i="12" s="1"/>
  <c r="U458" i="2"/>
  <c r="Q14" i="8"/>
  <c r="R14" i="8" s="1"/>
  <c r="O154" i="2"/>
  <c r="P154" i="2" s="1"/>
  <c r="Q154" i="2" s="1"/>
  <c r="R154" i="2" s="1"/>
  <c r="P26" i="2"/>
  <c r="S18" i="2"/>
  <c r="Q44" i="8"/>
  <c r="R44" i="8" s="1"/>
  <c r="Q486" i="2"/>
  <c r="T220" i="2"/>
  <c r="U101" i="19"/>
  <c r="U109" i="19" s="1"/>
  <c r="U75" i="18"/>
  <c r="P342" i="2"/>
  <c r="R302" i="18"/>
  <c r="Q305" i="18"/>
  <c r="T46" i="19"/>
  <c r="P301" i="2"/>
  <c r="O16" i="8"/>
  <c r="P16" i="8" s="1"/>
  <c r="P40" i="8" s="1"/>
  <c r="T710" i="5"/>
  <c r="G51" i="12" s="1"/>
  <c r="O40" i="8"/>
  <c r="D60" i="12" s="1"/>
  <c r="P128" i="19"/>
  <c r="T595" i="5"/>
  <c r="G47" i="12" s="1"/>
  <c r="P153" i="2"/>
  <c r="O27" i="2"/>
  <c r="P27" i="2" s="1"/>
  <c r="Q27" i="2" s="1"/>
  <c r="R27" i="2" s="1"/>
  <c r="R98" i="2" s="1"/>
  <c r="O117" i="2"/>
  <c r="O150" i="2" s="1"/>
  <c r="U115" i="8"/>
  <c r="R58" i="18"/>
  <c r="Q120" i="18"/>
  <c r="O414" i="2"/>
  <c r="P414" i="2" s="1"/>
  <c r="Q414" i="2" s="1"/>
  <c r="R414" i="2" s="1"/>
  <c r="P127" i="18"/>
  <c r="P307" i="18" s="1"/>
  <c r="Q123" i="18"/>
  <c r="O302" i="2"/>
  <c r="P302" i="2" s="1"/>
  <c r="Q302" i="2" s="1"/>
  <c r="R302" i="2" s="1"/>
  <c r="U116" i="18"/>
  <c r="T83" i="19"/>
  <c r="U83" i="19" s="1"/>
  <c r="U97" i="19" s="1"/>
  <c r="T153" i="2"/>
  <c r="Q459" i="2"/>
  <c r="U710" i="5"/>
  <c r="H51" i="12" s="1"/>
  <c r="T87" i="18"/>
  <c r="U87" i="18" s="1"/>
  <c r="Q128" i="19"/>
  <c r="U595" i="5"/>
  <c r="H47" i="12" s="1"/>
  <c r="N209" i="2"/>
  <c r="B16" i="12" s="1"/>
  <c r="B8" i="12"/>
  <c r="U165" i="18"/>
  <c r="O316" i="2"/>
  <c r="P316" i="2" s="1"/>
  <c r="Q316" i="2" s="1"/>
  <c r="R316" i="2" s="1"/>
  <c r="Q43" i="8"/>
  <c r="O49" i="8"/>
  <c r="U92" i="19"/>
  <c r="S176" i="18"/>
  <c r="U86" i="19"/>
  <c r="O343" i="2"/>
  <c r="P343" i="2" s="1"/>
  <c r="Q343" i="2" s="1"/>
  <c r="R343" i="2" s="1"/>
  <c r="O308" i="2"/>
  <c r="P308" i="2" s="1"/>
  <c r="Q308" i="2" s="1"/>
  <c r="R308" i="2" s="1"/>
  <c r="O182" i="2"/>
  <c r="P182" i="2" s="1"/>
  <c r="Q182" i="2" s="1"/>
  <c r="R182" i="2" s="1"/>
  <c r="S112" i="19"/>
  <c r="S117" i="19" s="1"/>
  <c r="S128" i="19" s="1"/>
  <c r="T112" i="19"/>
  <c r="T117" i="19" s="1"/>
  <c r="O180" i="2"/>
  <c r="P180" i="2" s="1"/>
  <c r="Q180" i="2" s="1"/>
  <c r="R180" i="2" s="1"/>
  <c r="T147" i="18"/>
  <c r="P98" i="2" l="1"/>
  <c r="O98" i="2"/>
  <c r="E70" i="12"/>
  <c r="U106" i="2"/>
  <c r="U108" i="2" s="1"/>
  <c r="T108" i="2"/>
  <c r="E64" i="12"/>
  <c r="S101" i="2"/>
  <c r="R103" i="2"/>
  <c r="D56" i="12"/>
  <c r="R244" i="2"/>
  <c r="R249" i="2" s="1"/>
  <c r="E22" i="12" s="1"/>
  <c r="N354" i="2"/>
  <c r="B30" i="12"/>
  <c r="Q216" i="2"/>
  <c r="R212" i="2"/>
  <c r="R527" i="5"/>
  <c r="Q530" i="5"/>
  <c r="Q726" i="5" s="1"/>
  <c r="R261" i="2"/>
  <c r="E24" i="12" s="1"/>
  <c r="S252" i="2"/>
  <c r="T235" i="5"/>
  <c r="G39" i="12" s="1"/>
  <c r="Q179" i="2"/>
  <c r="S142" i="8"/>
  <c r="R133" i="8"/>
  <c r="S124" i="8"/>
  <c r="U120" i="8"/>
  <c r="U124" i="8" s="1"/>
  <c r="T124" i="8"/>
  <c r="T133" i="8"/>
  <c r="U127" i="8"/>
  <c r="U133" i="8" s="1"/>
  <c r="S133" i="8"/>
  <c r="U64" i="8"/>
  <c r="U110" i="8" s="1"/>
  <c r="T110" i="8"/>
  <c r="T136" i="8"/>
  <c r="S110" i="8"/>
  <c r="U276" i="2"/>
  <c r="U278" i="2" s="1"/>
  <c r="H26" i="12" s="1"/>
  <c r="T278" i="2"/>
  <c r="G26" i="12" s="1"/>
  <c r="Q127" i="18"/>
  <c r="R123" i="18"/>
  <c r="S414" i="2"/>
  <c r="T414" i="2" s="1"/>
  <c r="U414" i="2" s="1"/>
  <c r="P117" i="2"/>
  <c r="P150" i="2" s="1"/>
  <c r="O209" i="2"/>
  <c r="O331" i="2"/>
  <c r="S302" i="18"/>
  <c r="S305" i="18" s="1"/>
  <c r="R305" i="18"/>
  <c r="S14" i="8"/>
  <c r="B62" i="12"/>
  <c r="T176" i="18"/>
  <c r="U147" i="18"/>
  <c r="U176" i="18" s="1"/>
  <c r="P49" i="8"/>
  <c r="O60" i="8"/>
  <c r="U153" i="2"/>
  <c r="Q153" i="2"/>
  <c r="P209" i="2"/>
  <c r="Q301" i="2"/>
  <c r="Q331" i="2" s="1"/>
  <c r="P331" i="2"/>
  <c r="O352" i="2"/>
  <c r="D32" i="12" s="1"/>
  <c r="R486" i="2"/>
  <c r="S44" i="8"/>
  <c r="T44" i="8" s="1"/>
  <c r="T18" i="2"/>
  <c r="R209" i="2"/>
  <c r="E16" i="12" s="1"/>
  <c r="S154" i="2"/>
  <c r="T154" i="2" s="1"/>
  <c r="T97" i="19"/>
  <c r="T128" i="19" s="1"/>
  <c r="S316" i="2"/>
  <c r="T316" i="2" s="1"/>
  <c r="U316" i="2" s="1"/>
  <c r="U112" i="19"/>
  <c r="U117" i="19" s="1"/>
  <c r="S343" i="2"/>
  <c r="S352" i="2" s="1"/>
  <c r="F32" i="12" s="1"/>
  <c r="R352" i="2"/>
  <c r="E32" i="12" s="1"/>
  <c r="Q307" i="18"/>
  <c r="T53" i="19"/>
  <c r="U46" i="19"/>
  <c r="U53" i="19" s="1"/>
  <c r="Q342" i="2"/>
  <c r="Q352" i="2" s="1"/>
  <c r="P352" i="2"/>
  <c r="D8" i="12"/>
  <c r="S180" i="2"/>
  <c r="S182" i="2"/>
  <c r="T182" i="2" s="1"/>
  <c r="U182" i="2" s="1"/>
  <c r="S308" i="2"/>
  <c r="T308" i="2" s="1"/>
  <c r="U308" i="2" s="1"/>
  <c r="R459" i="2"/>
  <c r="C60" i="12"/>
  <c r="S302" i="2"/>
  <c r="T302" i="2" s="1"/>
  <c r="R331" i="2"/>
  <c r="S58" i="18"/>
  <c r="S120" i="18" s="1"/>
  <c r="R120" i="18"/>
  <c r="S27" i="2"/>
  <c r="S98" i="2" s="1"/>
  <c r="Q16" i="8"/>
  <c r="Q40" i="8" s="1"/>
  <c r="R16" i="8"/>
  <c r="R40" i="8" s="1"/>
  <c r="T231" i="2"/>
  <c r="G20" i="12" s="1"/>
  <c r="U220" i="2"/>
  <c r="U231" i="2" s="1"/>
  <c r="E8" i="12"/>
  <c r="Q26" i="2"/>
  <c r="Q98" i="2" s="1"/>
  <c r="T101" i="2" l="1"/>
  <c r="S103" i="2"/>
  <c r="H72" i="12"/>
  <c r="F70" i="12"/>
  <c r="G64" i="12"/>
  <c r="G72" i="12"/>
  <c r="E72" i="12"/>
  <c r="E79" i="12" s="1"/>
  <c r="C8" i="12"/>
  <c r="C32" i="12"/>
  <c r="H64" i="12"/>
  <c r="G70" i="12"/>
  <c r="F74" i="12"/>
  <c r="E60" i="12"/>
  <c r="F8" i="12"/>
  <c r="F64" i="12"/>
  <c r="F72" i="12"/>
  <c r="H70" i="12"/>
  <c r="B34" i="12"/>
  <c r="Q209" i="2"/>
  <c r="E10" i="12"/>
  <c r="S244" i="2"/>
  <c r="T244" i="2" s="1"/>
  <c r="T249" i="2" s="1"/>
  <c r="G22" i="12" s="1"/>
  <c r="E30" i="12"/>
  <c r="C28" i="12"/>
  <c r="O354" i="2"/>
  <c r="D30" i="12"/>
  <c r="D16" i="12"/>
  <c r="C12" i="12"/>
  <c r="D14" i="12"/>
  <c r="S212" i="2"/>
  <c r="R216" i="2"/>
  <c r="E18" i="12" s="1"/>
  <c r="S527" i="5"/>
  <c r="S530" i="5" s="1"/>
  <c r="R530" i="5"/>
  <c r="T252" i="2"/>
  <c r="S261" i="2"/>
  <c r="F24" i="12" s="1"/>
  <c r="T180" i="2"/>
  <c r="T209" i="2" s="1"/>
  <c r="G16" i="12" s="1"/>
  <c r="U136" i="8"/>
  <c r="U142" i="8" s="1"/>
  <c r="T142" i="8"/>
  <c r="H12" i="12"/>
  <c r="G12" i="12"/>
  <c r="T27" i="2"/>
  <c r="U27" i="2" s="1"/>
  <c r="T343" i="2"/>
  <c r="T352" i="2" s="1"/>
  <c r="G32" i="12" s="1"/>
  <c r="U154" i="2"/>
  <c r="T331" i="2"/>
  <c r="U302" i="2"/>
  <c r="S486" i="2"/>
  <c r="Q49" i="8"/>
  <c r="Q60" i="8" s="1"/>
  <c r="Q146" i="8" s="1"/>
  <c r="R49" i="8"/>
  <c r="P60" i="8"/>
  <c r="P146" i="8" s="1"/>
  <c r="B66" i="12"/>
  <c r="B80" i="12" s="1"/>
  <c r="Q117" i="2"/>
  <c r="Q150" i="2" s="1"/>
  <c r="P354" i="2"/>
  <c r="T123" i="18"/>
  <c r="T127" i="18" s="1"/>
  <c r="U123" i="18"/>
  <c r="U127" i="18" s="1"/>
  <c r="R127" i="18"/>
  <c r="R307" i="18" s="1"/>
  <c r="S123" i="18"/>
  <c r="S127" i="18" s="1"/>
  <c r="S307" i="18" s="1"/>
  <c r="H20" i="12"/>
  <c r="S209" i="2"/>
  <c r="F16" i="12" s="1"/>
  <c r="U44" i="8"/>
  <c r="T302" i="18"/>
  <c r="T305" i="18" s="1"/>
  <c r="T58" i="18"/>
  <c r="T120" i="18" s="1"/>
  <c r="T307" i="18" s="1"/>
  <c r="S16" i="8"/>
  <c r="T16" i="8" s="1"/>
  <c r="U16" i="8" s="1"/>
  <c r="U58" i="18"/>
  <c r="U120" i="18" s="1"/>
  <c r="S331" i="2"/>
  <c r="S459" i="2"/>
  <c r="U128" i="19"/>
  <c r="U18" i="2"/>
  <c r="U98" i="2" s="1"/>
  <c r="D62" i="12"/>
  <c r="D66" i="12" s="1"/>
  <c r="O146" i="8"/>
  <c r="T14" i="8"/>
  <c r="B81" i="12" l="1"/>
  <c r="D80" i="12"/>
  <c r="T98" i="2"/>
  <c r="F79" i="12"/>
  <c r="C30" i="12"/>
  <c r="B35" i="12"/>
  <c r="G74" i="12"/>
  <c r="G79" i="12" s="1"/>
  <c r="C16" i="12"/>
  <c r="H74" i="12"/>
  <c r="H79" i="12" s="1"/>
  <c r="C14" i="12"/>
  <c r="C34" i="12" s="1"/>
  <c r="U101" i="2"/>
  <c r="U103" i="2" s="1"/>
  <c r="T103" i="2"/>
  <c r="G10" i="12" s="1"/>
  <c r="H8" i="12"/>
  <c r="G8" i="12"/>
  <c r="F10" i="12"/>
  <c r="S249" i="2"/>
  <c r="F22" i="12" s="1"/>
  <c r="U244" i="2"/>
  <c r="B82" i="12"/>
  <c r="F30" i="12"/>
  <c r="G30" i="12"/>
  <c r="T212" i="2"/>
  <c r="S216" i="2"/>
  <c r="F18" i="12" s="1"/>
  <c r="T527" i="5"/>
  <c r="T530" i="5" s="1"/>
  <c r="E45" i="12"/>
  <c r="R726" i="5"/>
  <c r="F45" i="12"/>
  <c r="S726" i="5"/>
  <c r="U252" i="2"/>
  <c r="U261" i="2" s="1"/>
  <c r="H24" i="12" s="1"/>
  <c r="T261" i="2"/>
  <c r="G24" i="12" s="1"/>
  <c r="U180" i="2"/>
  <c r="U209" i="2" s="1"/>
  <c r="H16" i="12" s="1"/>
  <c r="U343" i="2"/>
  <c r="T459" i="2"/>
  <c r="U459" i="2" s="1"/>
  <c r="D34" i="12"/>
  <c r="S40" i="8"/>
  <c r="U14" i="8"/>
  <c r="U40" i="8" s="1"/>
  <c r="T40" i="8"/>
  <c r="R117" i="2"/>
  <c r="R150" i="2" s="1"/>
  <c r="Q354" i="2"/>
  <c r="S49" i="8"/>
  <c r="S60" i="8" s="1"/>
  <c r="R60" i="8"/>
  <c r="U331" i="2"/>
  <c r="C62" i="12"/>
  <c r="C66" i="12" s="1"/>
  <c r="U302" i="18"/>
  <c r="U305" i="18" s="1"/>
  <c r="U307" i="18" s="1"/>
  <c r="T486" i="2"/>
  <c r="F55" i="12" l="1"/>
  <c r="G60" i="12"/>
  <c r="F60" i="12"/>
  <c r="H60" i="12"/>
  <c r="E55" i="12"/>
  <c r="E56" i="12" s="1"/>
  <c r="H10" i="12"/>
  <c r="U249" i="2"/>
  <c r="H22" i="12" s="1"/>
  <c r="C81" i="12"/>
  <c r="F56" i="12"/>
  <c r="H30" i="12"/>
  <c r="D81" i="12"/>
  <c r="D82" i="12" s="1"/>
  <c r="D35" i="12"/>
  <c r="U212" i="2"/>
  <c r="U216" i="2" s="1"/>
  <c r="H18" i="12" s="1"/>
  <c r="T216" i="2"/>
  <c r="G18" i="12" s="1"/>
  <c r="U527" i="5"/>
  <c r="U530" i="5" s="1"/>
  <c r="U726" i="5" s="1"/>
  <c r="G45" i="12"/>
  <c r="T726" i="5"/>
  <c r="U352" i="2"/>
  <c r="H32" i="12" s="1"/>
  <c r="T49" i="8"/>
  <c r="U49" i="8" s="1"/>
  <c r="U60" i="8" s="1"/>
  <c r="E62" i="12"/>
  <c r="E66" i="12" s="1"/>
  <c r="R146" i="8"/>
  <c r="S117" i="2"/>
  <c r="S150" i="2" s="1"/>
  <c r="F62" i="12"/>
  <c r="S146" i="8"/>
  <c r="U486" i="2"/>
  <c r="F66" i="12" l="1"/>
  <c r="G55" i="12"/>
  <c r="F80" i="12"/>
  <c r="E80" i="12"/>
  <c r="E14" i="12"/>
  <c r="R354" i="2"/>
  <c r="G56" i="12"/>
  <c r="F14" i="12"/>
  <c r="S354" i="2"/>
  <c r="H45" i="12"/>
  <c r="T60" i="8"/>
  <c r="T117" i="2"/>
  <c r="H62" i="12"/>
  <c r="H66" i="12" s="1"/>
  <c r="U146" i="8"/>
  <c r="U117" i="2" l="1"/>
  <c r="U150" i="2" s="1"/>
  <c r="T150" i="2"/>
  <c r="H55" i="12"/>
  <c r="E34" i="12"/>
  <c r="E81" i="12" s="1"/>
  <c r="F34" i="12"/>
  <c r="F81" i="12" s="1"/>
  <c r="G62" i="12"/>
  <c r="G66" i="12" s="1"/>
  <c r="H80" i="12"/>
  <c r="I55" i="12"/>
  <c r="H56" i="12"/>
  <c r="T146" i="8"/>
  <c r="U354" i="2"/>
  <c r="T354" i="2"/>
  <c r="I79" i="12"/>
  <c r="E35" i="12" l="1"/>
  <c r="G80" i="12"/>
  <c r="F35" i="12"/>
  <c r="H14" i="12"/>
  <c r="G14" i="12"/>
  <c r="H34" i="12" l="1"/>
  <c r="H35" i="12" s="1"/>
  <c r="G34" i="12"/>
  <c r="G35" i="12" s="1"/>
  <c r="G81" i="12"/>
  <c r="I34" i="12" l="1"/>
  <c r="H81" i="12"/>
  <c r="H82" i="12" s="1"/>
</calcChain>
</file>

<file path=xl/comments1.xml><?xml version="1.0" encoding="utf-8"?>
<comments xmlns="http://schemas.openxmlformats.org/spreadsheetml/2006/main">
  <authors>
    <author>HeatherL</author>
    <author>Lindsay Waldram</author>
  </authors>
  <commentList>
    <comment ref="A94" authorId="0">
      <text>
        <r>
          <rPr>
            <b/>
            <sz val="8"/>
            <color indexed="81"/>
            <rFont val="Tahoma"/>
            <family val="2"/>
          </rPr>
          <t>HeatherL:</t>
        </r>
        <r>
          <rPr>
            <sz val="8"/>
            <color indexed="81"/>
            <rFont val="Tahoma"/>
            <family val="2"/>
          </rPr>
          <t xml:space="preserve">
Update this section as a way of tracking who has updated this spreadsheet and when, and also that it ties back to the FAR.  This should be hidden when submitted for UTC purposes.</t>
        </r>
      </text>
    </comment>
    <comment ref="C117" authorId="1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Type H was xferred to this district in error</t>
        </r>
      </text>
    </comment>
    <comment ref="D118" authorId="1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Manually added in licensing on some trucks that were added previously</t>
        </r>
      </text>
    </comment>
  </commentList>
</comments>
</file>

<file path=xl/comments2.xml><?xml version="1.0" encoding="utf-8"?>
<comments xmlns="http://schemas.openxmlformats.org/spreadsheetml/2006/main">
  <authors>
    <author>HeatherL</author>
    <author>Lindsay Waldram</author>
    <author>jenniferb</author>
    <author>WCNX</author>
    <author>Heather Garland</author>
  </authors>
  <commentList>
    <comment ref="D17" authorId="0">
      <text>
        <r>
          <rPr>
            <b/>
            <sz val="8"/>
            <color indexed="81"/>
            <rFont val="Tahoma"/>
            <family val="2"/>
          </rPr>
          <t>HeatherL:</t>
        </r>
        <r>
          <rPr>
            <sz val="8"/>
            <color indexed="81"/>
            <rFont val="Tahoma"/>
            <family val="2"/>
          </rPr>
          <t xml:space="preserve">
One line allocated between LOB's based on #of trucks.</t>
        </r>
      </text>
    </comment>
    <comment ref="D23" authorId="0">
      <text>
        <r>
          <rPr>
            <b/>
            <sz val="8"/>
            <color indexed="81"/>
            <rFont val="Tahoma"/>
            <family val="2"/>
          </rPr>
          <t>HeatherL:</t>
        </r>
        <r>
          <rPr>
            <sz val="8"/>
            <color indexed="81"/>
            <rFont val="Tahoma"/>
            <family val="2"/>
          </rPr>
          <t xml:space="preserve">
3 lines combined and allocated between LOB's based on # of trucks.</t>
        </r>
      </text>
    </comment>
    <comment ref="D35" authorId="0">
      <text>
        <r>
          <rPr>
            <b/>
            <sz val="8"/>
            <color indexed="81"/>
            <rFont val="Tahoma"/>
            <family val="2"/>
          </rPr>
          <t>HeatherL:</t>
        </r>
        <r>
          <rPr>
            <sz val="8"/>
            <color indexed="81"/>
            <rFont val="Tahoma"/>
            <family val="2"/>
          </rPr>
          <t xml:space="preserve">
Summed 5 lines and allocated to each LOB based on # of trucks.</t>
        </r>
      </text>
    </comment>
    <comment ref="D36" authorId="0">
      <text>
        <r>
          <rPr>
            <b/>
            <sz val="8"/>
            <color indexed="81"/>
            <rFont val="Tahoma"/>
            <family val="2"/>
          </rPr>
          <t>HeatherL:</t>
        </r>
        <r>
          <rPr>
            <sz val="8"/>
            <color indexed="81"/>
            <rFont val="Tahoma"/>
            <family val="2"/>
          </rPr>
          <t xml:space="preserve">
3 lines combined and allocated between LOB's based on # of trucks.</t>
        </r>
      </text>
    </comment>
    <comment ref="D37" authorId="0">
      <text>
        <r>
          <rPr>
            <b/>
            <sz val="8"/>
            <color indexed="81"/>
            <rFont val="Tahoma"/>
            <family val="2"/>
          </rPr>
          <t>HeatherL:</t>
        </r>
        <r>
          <rPr>
            <sz val="8"/>
            <color indexed="81"/>
            <rFont val="Tahoma"/>
            <family val="2"/>
          </rPr>
          <t xml:space="preserve">
One line allocated between LOB's based on number of trucks.</t>
        </r>
      </text>
    </comment>
    <comment ref="D47" authorId="1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Actually a mini truck used for garbage pickup</t>
        </r>
      </text>
    </comment>
    <comment ref="D55" authorId="1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Should this be REL</t>
        </r>
      </text>
    </comment>
    <comment ref="D111" authorId="0">
      <text>
        <r>
          <rPr>
            <b/>
            <sz val="8"/>
            <color indexed="81"/>
            <rFont val="Tahoma"/>
            <family val="2"/>
          </rPr>
          <t>HeatherL:</t>
        </r>
        <r>
          <rPr>
            <sz val="8"/>
            <color indexed="81"/>
            <rFont val="Tahoma"/>
            <family val="2"/>
          </rPr>
          <t xml:space="preserve">
One line allocated between LOB's based on #of trucks.</t>
        </r>
      </text>
    </comment>
    <comment ref="D113" authorId="0">
      <text>
        <r>
          <rPr>
            <b/>
            <sz val="8"/>
            <color indexed="81"/>
            <rFont val="Tahoma"/>
            <family val="2"/>
          </rPr>
          <t>HeatherL:</t>
        </r>
        <r>
          <rPr>
            <sz val="8"/>
            <color indexed="81"/>
            <rFont val="Tahoma"/>
            <family val="2"/>
          </rPr>
          <t xml:space="preserve">
3 lines combined and allocated between LOB's based on # of trucks.</t>
        </r>
      </text>
    </comment>
    <comment ref="D119" authorId="0">
      <text>
        <r>
          <rPr>
            <b/>
            <sz val="8"/>
            <color indexed="81"/>
            <rFont val="Tahoma"/>
            <family val="2"/>
          </rPr>
          <t>HeatherL:</t>
        </r>
        <r>
          <rPr>
            <sz val="8"/>
            <color indexed="81"/>
            <rFont val="Tahoma"/>
            <family val="2"/>
          </rPr>
          <t xml:space="preserve">
Summed 5 lines and allocated to each LOB based on # of trucks.</t>
        </r>
      </text>
    </comment>
    <comment ref="D120" authorId="0">
      <text>
        <r>
          <rPr>
            <b/>
            <sz val="8"/>
            <color indexed="81"/>
            <rFont val="Tahoma"/>
            <family val="2"/>
          </rPr>
          <t>HeatherL:</t>
        </r>
        <r>
          <rPr>
            <sz val="8"/>
            <color indexed="81"/>
            <rFont val="Tahoma"/>
            <family val="2"/>
          </rPr>
          <t xml:space="preserve">
3 lines combined and allocated between LOB's based on # of trucks.</t>
        </r>
      </text>
    </comment>
    <comment ref="D121" authorId="0">
      <text>
        <r>
          <rPr>
            <b/>
            <sz val="8"/>
            <color indexed="81"/>
            <rFont val="Tahoma"/>
            <family val="2"/>
          </rPr>
          <t>HeatherL:</t>
        </r>
        <r>
          <rPr>
            <sz val="8"/>
            <color indexed="81"/>
            <rFont val="Tahoma"/>
            <family val="2"/>
          </rPr>
          <t xml:space="preserve">
One line allocated between LOB's based on number of trucks.</t>
        </r>
      </text>
    </comment>
    <comment ref="C124" authorId="2">
      <text>
        <r>
          <rPr>
            <b/>
            <sz val="9"/>
            <color indexed="81"/>
            <rFont val="Tahoma"/>
            <family val="2"/>
          </rPr>
          <t>jenniferb:</t>
        </r>
        <r>
          <rPr>
            <sz val="9"/>
            <color indexed="81"/>
            <rFont val="Tahoma"/>
            <family val="2"/>
          </rPr>
          <t xml:space="preserve">
asset 113896- 2 cameras</t>
        </r>
      </text>
    </comment>
    <comment ref="F125" authorId="2">
      <text>
        <r>
          <rPr>
            <b/>
            <sz val="9"/>
            <color indexed="81"/>
            <rFont val="Tahoma"/>
            <family val="2"/>
          </rPr>
          <t>jenniferb:</t>
        </r>
        <r>
          <rPr>
            <sz val="9"/>
            <color indexed="81"/>
            <rFont val="Tahoma"/>
            <family val="2"/>
          </rPr>
          <t xml:space="preserve">
2009 RO</t>
        </r>
      </text>
    </comment>
    <comment ref="D153" authorId="0">
      <text>
        <r>
          <rPr>
            <b/>
            <sz val="8"/>
            <color indexed="81"/>
            <rFont val="Tahoma"/>
            <family val="2"/>
          </rPr>
          <t>HeatherL:</t>
        </r>
        <r>
          <rPr>
            <sz val="8"/>
            <color indexed="81"/>
            <rFont val="Tahoma"/>
            <family val="2"/>
          </rPr>
          <t xml:space="preserve">
One line allocated between LOB's based on #of trucks.</t>
        </r>
      </text>
    </comment>
    <comment ref="D155" authorId="0">
      <text>
        <r>
          <rPr>
            <b/>
            <sz val="8"/>
            <color indexed="81"/>
            <rFont val="Tahoma"/>
            <family val="2"/>
          </rPr>
          <t>HeatherL:</t>
        </r>
        <r>
          <rPr>
            <sz val="8"/>
            <color indexed="81"/>
            <rFont val="Tahoma"/>
            <family val="2"/>
          </rPr>
          <t xml:space="preserve">
3 lines combined and allocated between LOB's based on # of trucks.</t>
        </r>
      </text>
    </comment>
    <comment ref="F157" authorId="2">
      <text>
        <r>
          <rPr>
            <b/>
            <sz val="9"/>
            <color indexed="81"/>
            <rFont val="Tahoma"/>
            <family val="2"/>
          </rPr>
          <t>jenniferb:</t>
        </r>
        <r>
          <rPr>
            <sz val="9"/>
            <color indexed="81"/>
            <rFont val="Tahoma"/>
            <family val="2"/>
          </rPr>
          <t xml:space="preserve">
where is this parent?</t>
        </r>
      </text>
    </comment>
    <comment ref="D176" authorId="0">
      <text>
        <r>
          <rPr>
            <b/>
            <sz val="8"/>
            <color indexed="81"/>
            <rFont val="Tahoma"/>
            <family val="2"/>
          </rPr>
          <t>HeatherL:</t>
        </r>
        <r>
          <rPr>
            <sz val="8"/>
            <color indexed="81"/>
            <rFont val="Tahoma"/>
            <family val="2"/>
          </rPr>
          <t xml:space="preserve">
Summed 5 lines and allocated to each LOB based on # of trucks.</t>
        </r>
      </text>
    </comment>
    <comment ref="D177" authorId="0">
      <text>
        <r>
          <rPr>
            <b/>
            <sz val="8"/>
            <color indexed="81"/>
            <rFont val="Tahoma"/>
            <family val="2"/>
          </rPr>
          <t>HeatherL:</t>
        </r>
        <r>
          <rPr>
            <sz val="8"/>
            <color indexed="81"/>
            <rFont val="Tahoma"/>
            <family val="2"/>
          </rPr>
          <t xml:space="preserve">
3 lines combined and allocated between LOB's based on # of trucks.</t>
        </r>
      </text>
    </comment>
    <comment ref="D178" authorId="0">
      <text>
        <r>
          <rPr>
            <b/>
            <sz val="8"/>
            <color indexed="81"/>
            <rFont val="Tahoma"/>
            <family val="2"/>
          </rPr>
          <t>HeatherL:</t>
        </r>
        <r>
          <rPr>
            <sz val="8"/>
            <color indexed="81"/>
            <rFont val="Tahoma"/>
            <family val="2"/>
          </rPr>
          <t xml:space="preserve">
One line allocated between LOB's based on number of trucks.</t>
        </r>
      </text>
    </comment>
    <comment ref="D190" authorId="2">
      <text>
        <r>
          <rPr>
            <b/>
            <sz val="9"/>
            <color indexed="81"/>
            <rFont val="Tahoma"/>
            <family val="2"/>
          </rPr>
          <t>jenniferb:</t>
        </r>
        <r>
          <rPr>
            <sz val="9"/>
            <color indexed="81"/>
            <rFont val="Tahoma"/>
            <family val="2"/>
          </rPr>
          <t xml:space="preserve">
replacing truck #3307 asset 90543</t>
        </r>
      </text>
    </comment>
    <comment ref="D219" authorId="0">
      <text>
        <r>
          <rPr>
            <b/>
            <sz val="8"/>
            <color indexed="81"/>
            <rFont val="Tahoma"/>
            <family val="2"/>
          </rPr>
          <t>HeatherL:</t>
        </r>
        <r>
          <rPr>
            <sz val="8"/>
            <color indexed="81"/>
            <rFont val="Tahoma"/>
            <family val="2"/>
          </rPr>
          <t xml:space="preserve">
One line allocated between LOB's based on #of trucks.</t>
        </r>
      </text>
    </comment>
    <comment ref="D223" authorId="0">
      <text>
        <r>
          <rPr>
            <b/>
            <sz val="8"/>
            <color indexed="81"/>
            <rFont val="Tahoma"/>
            <family val="2"/>
          </rPr>
          <t>HeatherL:</t>
        </r>
        <r>
          <rPr>
            <sz val="8"/>
            <color indexed="81"/>
            <rFont val="Tahoma"/>
            <family val="2"/>
          </rPr>
          <t xml:space="preserve">
3 lines combined and allocated between LOB's based on # of trucks.</t>
        </r>
      </text>
    </comment>
    <comment ref="D224" authorId="0">
      <text>
        <r>
          <rPr>
            <b/>
            <sz val="8"/>
            <color indexed="81"/>
            <rFont val="Tahoma"/>
            <family val="2"/>
          </rPr>
          <t>HeatherL:</t>
        </r>
        <r>
          <rPr>
            <sz val="8"/>
            <color indexed="81"/>
            <rFont val="Tahoma"/>
            <family val="2"/>
          </rPr>
          <t xml:space="preserve">
Summed 5 lines and allocated to each LOB based on # of trucks.</t>
        </r>
      </text>
    </comment>
    <comment ref="D225" authorId="0">
      <text>
        <r>
          <rPr>
            <b/>
            <sz val="8"/>
            <color indexed="81"/>
            <rFont val="Tahoma"/>
            <family val="2"/>
          </rPr>
          <t>HeatherL:</t>
        </r>
        <r>
          <rPr>
            <sz val="8"/>
            <color indexed="81"/>
            <rFont val="Tahoma"/>
            <family val="2"/>
          </rPr>
          <t xml:space="preserve">
3 lines combined and allocated between LOB's based on # of trucks.</t>
        </r>
      </text>
    </comment>
    <comment ref="D226" authorId="0">
      <text>
        <r>
          <rPr>
            <b/>
            <sz val="8"/>
            <color indexed="81"/>
            <rFont val="Tahoma"/>
            <family val="2"/>
          </rPr>
          <t>HeatherL:</t>
        </r>
        <r>
          <rPr>
            <sz val="8"/>
            <color indexed="81"/>
            <rFont val="Tahoma"/>
            <family val="2"/>
          </rPr>
          <t xml:space="preserve">
One line allocated between LOB's based on number of trucks.</t>
        </r>
      </text>
    </comment>
    <comment ref="D243" authorId="3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44" authorId="1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Roll off?</t>
        </r>
      </text>
    </comment>
    <comment ref="C270" authorId="4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Transferred from American in 2017.</t>
        </r>
      </text>
    </comment>
    <comment ref="F275" authorId="2">
      <text>
        <r>
          <rPr>
            <b/>
            <sz val="9"/>
            <color indexed="81"/>
            <rFont val="Tahoma"/>
            <family val="2"/>
          </rPr>
          <t>jenniferb:</t>
        </r>
        <r>
          <rPr>
            <sz val="9"/>
            <color indexed="81"/>
            <rFont val="Tahoma"/>
            <family val="2"/>
          </rPr>
          <t xml:space="preserve">
where is this parent asset?</t>
        </r>
      </text>
    </comment>
    <comment ref="B290" authorId="4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These transfer trucks are sued for used for Lakewood TS hauls  Per Brittany, there are only 3 LRI transfer trucks (non-reg activity), and they can be specifically identified so they have been removed from this schedule.</t>
        </r>
      </text>
    </comment>
    <comment ref="A325" authorId="0">
      <text>
        <r>
          <rPr>
            <b/>
            <sz val="8"/>
            <color indexed="81"/>
            <rFont val="Tahoma"/>
            <family val="2"/>
          </rPr>
          <t>HeatherL:</t>
        </r>
        <r>
          <rPr>
            <sz val="8"/>
            <color indexed="81"/>
            <rFont val="Tahoma"/>
            <family val="2"/>
          </rPr>
          <t xml:space="preserve">
Not licensed during 2010 due to decrease in long haul business.</t>
        </r>
      </text>
    </comment>
    <comment ref="D338" authorId="3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Transferred from 2182 10/2011.</t>
        </r>
      </text>
    </comment>
    <comment ref="D349" authorId="1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Container Delivery</t>
        </r>
      </text>
    </comment>
    <comment ref="C374" authorId="2">
      <text>
        <r>
          <rPr>
            <b/>
            <sz val="9"/>
            <color indexed="81"/>
            <rFont val="Tahoma"/>
            <family val="2"/>
          </rPr>
          <t>jenniferb:</t>
        </r>
        <r>
          <rPr>
            <sz val="9"/>
            <color indexed="81"/>
            <rFont val="Tahoma"/>
            <family val="2"/>
          </rPr>
          <t xml:space="preserve">
asset 113248- 7 cameras</t>
        </r>
      </text>
    </comment>
    <comment ref="D425" authorId="0">
      <text>
        <r>
          <rPr>
            <b/>
            <sz val="8"/>
            <color indexed="81"/>
            <rFont val="Tahoma"/>
            <family val="2"/>
          </rPr>
          <t>HeatherL:</t>
        </r>
        <r>
          <rPr>
            <sz val="8"/>
            <color indexed="81"/>
            <rFont val="Tahoma"/>
            <family val="2"/>
          </rPr>
          <t xml:space="preserve">
3 lines combined and allocated between LOB's based on # of trucks.</t>
        </r>
      </text>
    </comment>
    <comment ref="C430" authorId="2">
      <text>
        <r>
          <rPr>
            <b/>
            <sz val="9"/>
            <color indexed="81"/>
            <rFont val="Tahoma"/>
            <family val="2"/>
          </rPr>
          <t>jenniferb:</t>
        </r>
        <r>
          <rPr>
            <sz val="9"/>
            <color indexed="81"/>
            <rFont val="Tahoma"/>
            <family val="2"/>
          </rPr>
          <t xml:space="preserve">
same trk # as asset 86843.  Asset 86843 transferred to 2182 12/1/14</t>
        </r>
      </text>
    </comment>
    <comment ref="D452" authorId="4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Move to tractor/trailer section.</t>
        </r>
      </text>
    </comment>
  </commentList>
</comments>
</file>

<file path=xl/comments3.xml><?xml version="1.0" encoding="utf-8"?>
<comments xmlns="http://schemas.openxmlformats.org/spreadsheetml/2006/main">
  <authors>
    <author>Lindsay Waldram</author>
    <author>Chelsea Paschke</author>
  </authors>
  <commentList>
    <comment ref="B177" authorId="0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Moved from YW</t>
        </r>
      </text>
    </comment>
    <comment ref="B343" authorId="0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Moved from YW</t>
        </r>
      </text>
    </comment>
    <comment ref="B737" authorId="1">
      <text>
        <r>
          <rPr>
            <b/>
            <sz val="9"/>
            <color indexed="81"/>
            <rFont val="Tahoma"/>
            <family val="2"/>
          </rPr>
          <t>Chelsea Paschke:</t>
        </r>
        <r>
          <rPr>
            <sz val="9"/>
            <color indexed="81"/>
            <rFont val="Tahoma"/>
            <family val="2"/>
          </rPr>
          <t xml:space="preserve">
partial disposal - see asset above</t>
        </r>
      </text>
    </comment>
  </commentList>
</comments>
</file>

<file path=xl/comments4.xml><?xml version="1.0" encoding="utf-8"?>
<comments xmlns="http://schemas.openxmlformats.org/spreadsheetml/2006/main">
  <authors>
    <author>jenniferb</author>
    <author>WCNX</author>
  </authors>
  <commentList>
    <comment ref="C24" authorId="0">
      <text>
        <r>
          <rPr>
            <b/>
            <sz val="9"/>
            <color indexed="81"/>
            <rFont val="Tahoma"/>
            <family val="2"/>
          </rPr>
          <t>jenniferb:</t>
        </r>
        <r>
          <rPr>
            <sz val="9"/>
            <color indexed="81"/>
            <rFont val="Tahoma"/>
            <family val="2"/>
          </rPr>
          <t xml:space="preserve">
transfer from 2170</t>
        </r>
      </text>
    </comment>
    <comment ref="C81" authorId="1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JBLM??</t>
        </r>
      </text>
    </comment>
  </commentList>
</comments>
</file>

<file path=xl/comments5.xml><?xml version="1.0" encoding="utf-8"?>
<comments xmlns="http://schemas.openxmlformats.org/spreadsheetml/2006/main">
  <authors>
    <author>WCI Information Systems Department</author>
    <author>WCNX</author>
    <author>HeatherL</author>
    <author>jenniferb</author>
    <author>Lindsay Waldram</author>
    <author>Heather Garland</author>
    <author>heatherg</author>
    <author>Ben Thompson</author>
  </authors>
  <commentList>
    <comment ref="X12" authorId="0">
      <text>
        <r>
          <rPr>
            <b/>
            <sz val="8"/>
            <color indexed="81"/>
            <rFont val="Tahoma"/>
            <family val="2"/>
          </rPr>
          <t>WCI Information Systems Department:</t>
        </r>
        <r>
          <rPr>
            <sz val="8"/>
            <color indexed="81"/>
            <rFont val="Tahoma"/>
            <family val="2"/>
          </rPr>
          <t xml:space="preserve">
Checked on 7/25/2011.</t>
        </r>
      </text>
    </comment>
    <comment ref="D21" authorId="1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Transferred from 2182 10/2011.</t>
        </r>
      </text>
    </comment>
    <comment ref="D22" authorId="2">
      <text>
        <r>
          <rPr>
            <b/>
            <sz val="8"/>
            <color indexed="81"/>
            <rFont val="Tahoma"/>
            <family val="2"/>
          </rPr>
          <t>HeatherL:</t>
        </r>
        <r>
          <rPr>
            <sz val="8"/>
            <color indexed="81"/>
            <rFont val="Tahoma"/>
            <family val="2"/>
          </rPr>
          <t xml:space="preserve">
One line allocated between LOB's based on #of trucks.</t>
        </r>
      </text>
    </comment>
    <comment ref="D33" authorId="2">
      <text>
        <r>
          <rPr>
            <b/>
            <sz val="8"/>
            <color indexed="81"/>
            <rFont val="Tahoma"/>
            <family val="2"/>
          </rPr>
          <t>HeatherL:</t>
        </r>
        <r>
          <rPr>
            <sz val="8"/>
            <color indexed="81"/>
            <rFont val="Tahoma"/>
            <family val="2"/>
          </rPr>
          <t xml:space="preserve">
3 lines combined and allocated between LOB's based on # of trucks.</t>
        </r>
      </text>
    </comment>
    <comment ref="D51" authorId="2">
      <text>
        <r>
          <rPr>
            <b/>
            <sz val="8"/>
            <color indexed="81"/>
            <rFont val="Tahoma"/>
            <family val="2"/>
          </rPr>
          <t>HeatherL:</t>
        </r>
        <r>
          <rPr>
            <sz val="8"/>
            <color indexed="81"/>
            <rFont val="Tahoma"/>
            <family val="2"/>
          </rPr>
          <t xml:space="preserve">
Summed 5 lines and allocated to each LOB based on # of trucks.</t>
        </r>
      </text>
    </comment>
    <comment ref="D52" authorId="2">
      <text>
        <r>
          <rPr>
            <b/>
            <sz val="8"/>
            <color indexed="81"/>
            <rFont val="Tahoma"/>
            <family val="2"/>
          </rPr>
          <t>HeatherL:</t>
        </r>
        <r>
          <rPr>
            <sz val="8"/>
            <color indexed="81"/>
            <rFont val="Tahoma"/>
            <family val="2"/>
          </rPr>
          <t xml:space="preserve">
3 lines combined and allocated between LOB's based on # of trucks.</t>
        </r>
      </text>
    </comment>
    <comment ref="D54" authorId="2">
      <text>
        <r>
          <rPr>
            <b/>
            <sz val="8"/>
            <color indexed="81"/>
            <rFont val="Tahoma"/>
            <family val="2"/>
          </rPr>
          <t>HeatherL:</t>
        </r>
        <r>
          <rPr>
            <sz val="8"/>
            <color indexed="81"/>
            <rFont val="Tahoma"/>
            <family val="2"/>
          </rPr>
          <t xml:space="preserve">
One line allocated between LOB's based on number of trucks.</t>
        </r>
      </text>
    </comment>
    <comment ref="D76" authorId="1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8" authorId="3">
      <text>
        <r>
          <rPr>
            <b/>
            <sz val="9"/>
            <color indexed="81"/>
            <rFont val="Tahoma"/>
            <family val="2"/>
          </rPr>
          <t>jenniferb:</t>
        </r>
        <r>
          <rPr>
            <sz val="9"/>
            <color indexed="81"/>
            <rFont val="Tahoma"/>
            <family val="2"/>
          </rPr>
          <t xml:space="preserve">
replacing truck #3307 asset 90543</t>
        </r>
      </text>
    </comment>
    <comment ref="A100" authorId="4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Roll off?</t>
        </r>
      </text>
    </comment>
    <comment ref="D105" authorId="4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Actually a mini truck used for garbage pickup</t>
        </r>
      </text>
    </comment>
    <comment ref="D107" authorId="4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Container Delivery</t>
        </r>
      </text>
    </comment>
    <comment ref="D116" authorId="4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Should this be REL</t>
        </r>
      </text>
    </comment>
    <comment ref="D131" authorId="2">
      <text>
        <r>
          <rPr>
            <b/>
            <sz val="8"/>
            <color indexed="81"/>
            <rFont val="Tahoma"/>
            <family val="2"/>
          </rPr>
          <t>HeatherL:</t>
        </r>
        <r>
          <rPr>
            <sz val="8"/>
            <color indexed="81"/>
            <rFont val="Tahoma"/>
            <family val="2"/>
          </rPr>
          <t xml:space="preserve">
One line allocated between LOB's based on #of trucks.</t>
        </r>
      </text>
    </comment>
    <comment ref="D135" authorId="2">
      <text>
        <r>
          <rPr>
            <b/>
            <sz val="8"/>
            <color indexed="81"/>
            <rFont val="Tahoma"/>
            <family val="2"/>
          </rPr>
          <t>HeatherL:</t>
        </r>
        <r>
          <rPr>
            <sz val="8"/>
            <color indexed="81"/>
            <rFont val="Tahoma"/>
            <family val="2"/>
          </rPr>
          <t xml:space="preserve">
3 lines combined and allocated between LOB's based on # of trucks.</t>
        </r>
      </text>
    </comment>
    <comment ref="D143" authorId="2">
      <text>
        <r>
          <rPr>
            <b/>
            <sz val="8"/>
            <color indexed="81"/>
            <rFont val="Tahoma"/>
            <family val="2"/>
          </rPr>
          <t>HeatherL:</t>
        </r>
        <r>
          <rPr>
            <sz val="8"/>
            <color indexed="81"/>
            <rFont val="Tahoma"/>
            <family val="2"/>
          </rPr>
          <t xml:space="preserve">
Summed 5 lines and allocated to each LOB based on # of trucks.</t>
        </r>
      </text>
    </comment>
    <comment ref="D144" authorId="2">
      <text>
        <r>
          <rPr>
            <b/>
            <sz val="8"/>
            <color indexed="81"/>
            <rFont val="Tahoma"/>
            <family val="2"/>
          </rPr>
          <t>HeatherL:</t>
        </r>
        <r>
          <rPr>
            <sz val="8"/>
            <color indexed="81"/>
            <rFont val="Tahoma"/>
            <family val="2"/>
          </rPr>
          <t xml:space="preserve">
3 lines combined and allocated between LOB's based on # of trucks.</t>
        </r>
      </text>
    </comment>
    <comment ref="D145" authorId="2">
      <text>
        <r>
          <rPr>
            <b/>
            <sz val="8"/>
            <color indexed="81"/>
            <rFont val="Tahoma"/>
            <family val="2"/>
          </rPr>
          <t>HeatherL:</t>
        </r>
        <r>
          <rPr>
            <sz val="8"/>
            <color indexed="81"/>
            <rFont val="Tahoma"/>
            <family val="2"/>
          </rPr>
          <t xml:space="preserve">
One line allocated between LOB's based on number of trucks.</t>
        </r>
      </text>
    </comment>
    <comment ref="C146" authorId="3">
      <text>
        <r>
          <rPr>
            <b/>
            <sz val="9"/>
            <color indexed="81"/>
            <rFont val="Tahoma"/>
            <family val="2"/>
          </rPr>
          <t>jenniferb:</t>
        </r>
        <r>
          <rPr>
            <sz val="9"/>
            <color indexed="81"/>
            <rFont val="Tahoma"/>
            <family val="2"/>
          </rPr>
          <t xml:space="preserve">
asset 113248- 7 cameras</t>
        </r>
      </text>
    </comment>
    <comment ref="C153" authorId="3">
      <text>
        <r>
          <rPr>
            <b/>
            <sz val="9"/>
            <color indexed="81"/>
            <rFont val="Tahoma"/>
            <family val="2"/>
          </rPr>
          <t>jenniferb:</t>
        </r>
        <r>
          <rPr>
            <sz val="9"/>
            <color indexed="81"/>
            <rFont val="Tahoma"/>
            <family val="2"/>
          </rPr>
          <t xml:space="preserve">
asset 113896- 2 cameras</t>
        </r>
      </text>
    </comment>
    <comment ref="F154" authorId="3">
      <text>
        <r>
          <rPr>
            <b/>
            <sz val="9"/>
            <color indexed="81"/>
            <rFont val="Tahoma"/>
            <family val="2"/>
          </rPr>
          <t>jenniferb:</t>
        </r>
        <r>
          <rPr>
            <sz val="9"/>
            <color indexed="81"/>
            <rFont val="Tahoma"/>
            <family val="2"/>
          </rPr>
          <t xml:space="preserve">
2009 RO</t>
        </r>
      </text>
    </comment>
    <comment ref="D180" authorId="2">
      <text>
        <r>
          <rPr>
            <b/>
            <sz val="8"/>
            <color indexed="81"/>
            <rFont val="Tahoma"/>
            <family val="2"/>
          </rPr>
          <t>HeatherL:</t>
        </r>
        <r>
          <rPr>
            <sz val="8"/>
            <color indexed="81"/>
            <rFont val="Tahoma"/>
            <family val="2"/>
          </rPr>
          <t xml:space="preserve">
One line allocated between LOB's based on #of trucks.</t>
        </r>
      </text>
    </comment>
    <comment ref="D187" authorId="2">
      <text>
        <r>
          <rPr>
            <b/>
            <sz val="8"/>
            <color indexed="81"/>
            <rFont val="Tahoma"/>
            <family val="2"/>
          </rPr>
          <t>HeatherL:</t>
        </r>
        <r>
          <rPr>
            <sz val="8"/>
            <color indexed="81"/>
            <rFont val="Tahoma"/>
            <family val="2"/>
          </rPr>
          <t xml:space="preserve">
3 lines combined and allocated between LOB's based on # of trucks.</t>
        </r>
      </text>
    </comment>
    <comment ref="D188" authorId="2">
      <text>
        <r>
          <rPr>
            <b/>
            <sz val="8"/>
            <color indexed="81"/>
            <rFont val="Tahoma"/>
            <family val="2"/>
          </rPr>
          <t>HeatherL:</t>
        </r>
        <r>
          <rPr>
            <sz val="8"/>
            <color indexed="81"/>
            <rFont val="Tahoma"/>
            <family val="2"/>
          </rPr>
          <t xml:space="preserve">
Summed 5 lines and allocated to each LOB based on # of trucks.</t>
        </r>
      </text>
    </comment>
    <comment ref="D189" authorId="2">
      <text>
        <r>
          <rPr>
            <b/>
            <sz val="8"/>
            <color indexed="81"/>
            <rFont val="Tahoma"/>
            <family val="2"/>
          </rPr>
          <t>HeatherL:</t>
        </r>
        <r>
          <rPr>
            <sz val="8"/>
            <color indexed="81"/>
            <rFont val="Tahoma"/>
            <family val="2"/>
          </rPr>
          <t xml:space="preserve">
3 lines combined and allocated between LOB's based on # of trucks.</t>
        </r>
      </text>
    </comment>
    <comment ref="D190" authorId="2">
      <text>
        <r>
          <rPr>
            <b/>
            <sz val="8"/>
            <color indexed="81"/>
            <rFont val="Tahoma"/>
            <family val="2"/>
          </rPr>
          <t>HeatherL:</t>
        </r>
        <r>
          <rPr>
            <sz val="8"/>
            <color indexed="81"/>
            <rFont val="Tahoma"/>
            <family val="2"/>
          </rPr>
          <t xml:space="preserve">
One line allocated between LOB's based on number of trucks.</t>
        </r>
      </text>
    </comment>
    <comment ref="D205" authorId="2">
      <text>
        <r>
          <rPr>
            <b/>
            <sz val="8"/>
            <color indexed="81"/>
            <rFont val="Tahoma"/>
            <family val="2"/>
          </rPr>
          <t>HeatherL:</t>
        </r>
        <r>
          <rPr>
            <sz val="8"/>
            <color indexed="81"/>
            <rFont val="Tahoma"/>
            <family val="2"/>
          </rPr>
          <t xml:space="preserve">
One line allocated between LOB's based on #of trucks.</t>
        </r>
      </text>
    </comment>
    <comment ref="D210" authorId="2">
      <text>
        <r>
          <rPr>
            <b/>
            <sz val="8"/>
            <color indexed="81"/>
            <rFont val="Tahoma"/>
            <family val="2"/>
          </rPr>
          <t>HeatherL:</t>
        </r>
        <r>
          <rPr>
            <sz val="8"/>
            <color indexed="81"/>
            <rFont val="Tahoma"/>
            <family val="2"/>
          </rPr>
          <t xml:space="preserve">
3 lines combined and allocated between LOB's based on # of trucks.</t>
        </r>
      </text>
    </comment>
    <comment ref="D212" authorId="2">
      <text>
        <r>
          <rPr>
            <b/>
            <sz val="8"/>
            <color indexed="81"/>
            <rFont val="Tahoma"/>
            <family val="2"/>
          </rPr>
          <t>HeatherL:</t>
        </r>
        <r>
          <rPr>
            <sz val="8"/>
            <color indexed="81"/>
            <rFont val="Tahoma"/>
            <family val="2"/>
          </rPr>
          <t xml:space="preserve">
Summed 5 lines and allocated to each LOB based on # of trucks.</t>
        </r>
      </text>
    </comment>
    <comment ref="D213" authorId="2">
      <text>
        <r>
          <rPr>
            <b/>
            <sz val="8"/>
            <color indexed="81"/>
            <rFont val="Tahoma"/>
            <family val="2"/>
          </rPr>
          <t>HeatherL:</t>
        </r>
        <r>
          <rPr>
            <sz val="8"/>
            <color indexed="81"/>
            <rFont val="Tahoma"/>
            <family val="2"/>
          </rPr>
          <t xml:space="preserve">
3 lines combined and allocated between LOB's based on # of trucks.</t>
        </r>
      </text>
    </comment>
    <comment ref="D214" authorId="2">
      <text>
        <r>
          <rPr>
            <b/>
            <sz val="8"/>
            <color indexed="81"/>
            <rFont val="Tahoma"/>
            <family val="2"/>
          </rPr>
          <t>HeatherL:</t>
        </r>
        <r>
          <rPr>
            <sz val="8"/>
            <color indexed="81"/>
            <rFont val="Tahoma"/>
            <family val="2"/>
          </rPr>
          <t xml:space="preserve">
One line allocated between LOB's based on number of trucks.</t>
        </r>
      </text>
    </comment>
    <comment ref="C235" authorId="5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Transferred from American in 2017.</t>
        </r>
      </text>
    </comment>
    <comment ref="F248" authorId="3">
      <text>
        <r>
          <rPr>
            <b/>
            <sz val="9"/>
            <color indexed="81"/>
            <rFont val="Tahoma"/>
            <family val="2"/>
          </rPr>
          <t>jenniferb:</t>
        </r>
        <r>
          <rPr>
            <sz val="9"/>
            <color indexed="81"/>
            <rFont val="Tahoma"/>
            <family val="2"/>
          </rPr>
          <t xml:space="preserve">
where is this parent?</t>
        </r>
      </text>
    </comment>
    <comment ref="F250" authorId="3">
      <text>
        <r>
          <rPr>
            <b/>
            <sz val="9"/>
            <color indexed="81"/>
            <rFont val="Tahoma"/>
            <family val="2"/>
          </rPr>
          <t>jenniferb:</t>
        </r>
        <r>
          <rPr>
            <sz val="9"/>
            <color indexed="81"/>
            <rFont val="Tahoma"/>
            <family val="2"/>
          </rPr>
          <t xml:space="preserve">
where is this parent asset?</t>
        </r>
      </text>
    </comment>
    <comment ref="C282" authorId="3">
      <text>
        <r>
          <rPr>
            <b/>
            <sz val="9"/>
            <color indexed="81"/>
            <rFont val="Tahoma"/>
            <family val="2"/>
          </rPr>
          <t>jenniferb:</t>
        </r>
        <r>
          <rPr>
            <sz val="9"/>
            <color indexed="81"/>
            <rFont val="Tahoma"/>
            <family val="2"/>
          </rPr>
          <t xml:space="preserve">
same trk # as asset 86843.  Asset 86843 transferred to 2182 12/1/14</t>
        </r>
      </text>
    </comment>
    <comment ref="A289" authorId="2">
      <text>
        <r>
          <rPr>
            <b/>
            <sz val="8"/>
            <color indexed="81"/>
            <rFont val="Tahoma"/>
            <family val="2"/>
          </rPr>
          <t>HeatherL:</t>
        </r>
        <r>
          <rPr>
            <sz val="8"/>
            <color indexed="81"/>
            <rFont val="Tahoma"/>
            <family val="2"/>
          </rPr>
          <t xml:space="preserve">
Not licensed during 2010 due to decrease in long haul business.</t>
        </r>
      </text>
    </comment>
    <comment ref="D291" authorId="2">
      <text>
        <r>
          <rPr>
            <b/>
            <sz val="8"/>
            <color indexed="81"/>
            <rFont val="Tahoma"/>
            <family val="2"/>
          </rPr>
          <t>HeatherL:</t>
        </r>
        <r>
          <rPr>
            <sz val="8"/>
            <color indexed="81"/>
            <rFont val="Tahoma"/>
            <family val="2"/>
          </rPr>
          <t xml:space="preserve">
3 lines combined and allocated between LOB's based on # of trucks.</t>
        </r>
      </text>
    </comment>
    <comment ref="C313" authorId="0">
      <text>
        <r>
          <rPr>
            <b/>
            <sz val="8"/>
            <color indexed="81"/>
            <rFont val="Tahoma"/>
            <family val="2"/>
          </rPr>
          <t>WCI Information Systems Department:</t>
        </r>
        <r>
          <rPr>
            <sz val="8"/>
            <color indexed="81"/>
            <rFont val="Tahoma"/>
            <family val="2"/>
          </rPr>
          <t xml:space="preserve">
Parked, not used or licensed.</t>
        </r>
      </text>
    </comment>
    <comment ref="C316" authorId="1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Retired 6/2011.</t>
        </r>
      </text>
    </comment>
    <comment ref="C317" authorId="1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Transferred to 2211 11/2011.</t>
        </r>
      </text>
    </comment>
    <comment ref="C318" authorId="1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Transferred to 2012 11/2011.</t>
        </r>
      </text>
    </comment>
    <comment ref="C319" authorId="1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Transferred to 2184 - 11/2011.</t>
        </r>
      </text>
    </comment>
    <comment ref="C323" authorId="1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Transferred to 5013.</t>
        </r>
      </text>
    </comment>
    <comment ref="C333" authorId="1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Transferred to 2160 3/2014.</t>
        </r>
      </text>
    </comment>
    <comment ref="C334" authorId="1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Transferred to 2160 3/2014.</t>
        </r>
      </text>
    </comment>
    <comment ref="C336" authorId="1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Transferred to 2111.</t>
        </r>
      </text>
    </comment>
    <comment ref="C337" authorId="1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Transferred to 2140.</t>
        </r>
      </text>
    </comment>
    <comment ref="C342" authorId="1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Transferred to 2186.</t>
        </r>
      </text>
    </comment>
    <comment ref="D343" authorId="1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Transferred to 2182.
</t>
        </r>
      </text>
    </comment>
    <comment ref="C346" authorId="1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Transferred to 2111 2/2015.</t>
        </r>
      </text>
    </comment>
    <comment ref="C347" authorId="1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Retired 6/2015.</t>
        </r>
      </text>
    </comment>
    <comment ref="C348" authorId="1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Transferred to 4074 3/2015.</t>
        </r>
      </text>
    </comment>
    <comment ref="C351" authorId="1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Out of service per Jessie Bailey's truck audit 8/2015.</t>
        </r>
      </text>
    </comment>
    <comment ref="C352" authorId="1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Out of service per Jessie Bailey's truck audit 8/2015.</t>
        </r>
      </text>
    </comment>
    <comment ref="C353" authorId="1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Out of service per Jessie Bailey's truck audit 8/2015.</t>
        </r>
      </text>
    </comment>
    <comment ref="C355" authorId="1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Truck was transferred per Jessie Bailey's audit 8/2015.</t>
        </r>
      </text>
    </comment>
    <comment ref="C356" authorId="1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Scrapped per Jessie Bailey's truck audit 8/2015.</t>
        </r>
      </text>
    </comment>
    <comment ref="C357" authorId="1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Scrapped per Jessie Bailey 8/2015.</t>
        </r>
      </text>
    </comment>
    <comment ref="C368" authorId="6">
      <text>
        <r>
          <rPr>
            <b/>
            <sz val="9"/>
            <color indexed="81"/>
            <rFont val="Tahoma"/>
            <family val="2"/>
          </rPr>
          <t>heatherg:</t>
        </r>
        <r>
          <rPr>
            <sz val="9"/>
            <color indexed="81"/>
            <rFont val="Tahoma"/>
            <family val="2"/>
          </rPr>
          <t xml:space="preserve">
Transferred to 2182.</t>
        </r>
      </text>
    </comment>
    <comment ref="C369" authorId="6">
      <text>
        <r>
          <rPr>
            <b/>
            <sz val="9"/>
            <color indexed="81"/>
            <rFont val="Tahoma"/>
            <family val="2"/>
          </rPr>
          <t>heatherg:</t>
        </r>
        <r>
          <rPr>
            <sz val="9"/>
            <color indexed="81"/>
            <rFont val="Tahoma"/>
            <family val="2"/>
          </rPr>
          <t xml:space="preserve">
Transferred to 2182.</t>
        </r>
      </text>
    </comment>
    <comment ref="C375" authorId="6">
      <text>
        <r>
          <rPr>
            <b/>
            <sz val="9"/>
            <color indexed="81"/>
            <rFont val="Tahoma"/>
            <family val="2"/>
          </rPr>
          <t>heatherg:</t>
        </r>
        <r>
          <rPr>
            <sz val="9"/>
            <color indexed="81"/>
            <rFont val="Tahoma"/>
            <family val="2"/>
          </rPr>
          <t xml:space="preserve">
Transferred from 2182 in 2015.</t>
        </r>
      </text>
    </comment>
    <comment ref="C381" authorId="7">
      <text>
        <r>
          <rPr>
            <b/>
            <sz val="9"/>
            <color indexed="81"/>
            <rFont val="Tahoma"/>
            <family val="2"/>
          </rPr>
          <t>Ben Thompson:</t>
        </r>
        <r>
          <rPr>
            <sz val="9"/>
            <color indexed="81"/>
            <rFont val="Tahoma"/>
            <family val="2"/>
          </rPr>
          <t xml:space="preserve">
4/20/2017 3:25:12 PM
Transferred to 2182 on 11/01/16.
</t>
        </r>
      </text>
    </comment>
    <comment ref="C382" authorId="7">
      <text>
        <r>
          <rPr>
            <b/>
            <sz val="9"/>
            <color indexed="81"/>
            <rFont val="Tahoma"/>
            <family val="2"/>
          </rPr>
          <t>Ben Thompson:</t>
        </r>
        <r>
          <rPr>
            <sz val="9"/>
            <color indexed="81"/>
            <rFont val="Tahoma"/>
            <family val="2"/>
          </rPr>
          <t xml:space="preserve">
4/20/2017 3:25:12 PM
Transferred to 2182 on 11/01/16.
</t>
        </r>
      </text>
    </comment>
    <comment ref="C383" authorId="7">
      <text>
        <r>
          <rPr>
            <b/>
            <sz val="9"/>
            <color indexed="81"/>
            <rFont val="Tahoma"/>
            <family val="2"/>
          </rPr>
          <t>Ben Thompson:</t>
        </r>
        <r>
          <rPr>
            <sz val="9"/>
            <color indexed="81"/>
            <rFont val="Tahoma"/>
            <family val="2"/>
          </rPr>
          <t xml:space="preserve">
4/20/2017 3:25:12 PM
Transferred to 2182 on 11/01/16.
</t>
        </r>
      </text>
    </comment>
    <comment ref="C384" authorId="7">
      <text>
        <r>
          <rPr>
            <b/>
            <sz val="9"/>
            <color indexed="81"/>
            <rFont val="Tahoma"/>
            <family val="2"/>
          </rPr>
          <t>Ben Thompson:</t>
        </r>
        <r>
          <rPr>
            <sz val="9"/>
            <color indexed="81"/>
            <rFont val="Tahoma"/>
            <family val="2"/>
          </rPr>
          <t xml:space="preserve">
4/20/2017 3:25:12 PM
Transferred to 2182 on 11/01/16.
</t>
        </r>
      </text>
    </comment>
    <comment ref="C385" authorId="7">
      <text>
        <r>
          <rPr>
            <b/>
            <sz val="9"/>
            <color indexed="81"/>
            <rFont val="Tahoma"/>
            <family val="2"/>
          </rPr>
          <t>Ben Thompson:</t>
        </r>
        <r>
          <rPr>
            <sz val="9"/>
            <color indexed="81"/>
            <rFont val="Tahoma"/>
            <family val="2"/>
          </rPr>
          <t xml:space="preserve">
4/20/2017 3:25:12 PM
Transferred to 2182 on 11/01/16.
</t>
        </r>
      </text>
    </comment>
    <comment ref="C386" authorId="7">
      <text>
        <r>
          <rPr>
            <b/>
            <sz val="9"/>
            <color indexed="81"/>
            <rFont val="Tahoma"/>
            <family val="2"/>
          </rPr>
          <t>Ben Thompson:</t>
        </r>
        <r>
          <rPr>
            <sz val="9"/>
            <color indexed="81"/>
            <rFont val="Tahoma"/>
            <family val="2"/>
          </rPr>
          <t xml:space="preserve">
4/20/2017 3:25:12 PM
Transferred to 2182 on 11/01/16.
</t>
        </r>
      </text>
    </comment>
    <comment ref="D397" authorId="3">
      <text>
        <r>
          <rPr>
            <b/>
            <sz val="9"/>
            <color indexed="81"/>
            <rFont val="Tahoma"/>
            <family val="2"/>
          </rPr>
          <t>jenniferb:</t>
        </r>
        <r>
          <rPr>
            <sz val="9"/>
            <color indexed="81"/>
            <rFont val="Tahoma"/>
            <family val="2"/>
          </rPr>
          <t xml:space="preserve">
transfer from district 2012</t>
        </r>
      </text>
    </comment>
  </commentList>
</comments>
</file>

<file path=xl/comments6.xml><?xml version="1.0" encoding="utf-8"?>
<comments xmlns="http://schemas.openxmlformats.org/spreadsheetml/2006/main">
  <authors>
    <author>jenniferb</author>
    <author>WCNX</author>
  </authors>
  <commentList>
    <comment ref="C23" authorId="0">
      <text>
        <r>
          <rPr>
            <b/>
            <sz val="9"/>
            <color indexed="81"/>
            <rFont val="Tahoma"/>
            <family val="2"/>
          </rPr>
          <t>jenniferb:</t>
        </r>
        <r>
          <rPr>
            <sz val="9"/>
            <color indexed="81"/>
            <rFont val="Tahoma"/>
            <family val="2"/>
          </rPr>
          <t xml:space="preserve">
transfer from 2170</t>
        </r>
      </text>
    </comment>
    <comment ref="C74" authorId="1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JBLM??</t>
        </r>
      </text>
    </comment>
  </commentList>
</comments>
</file>

<file path=xl/sharedStrings.xml><?xml version="1.0" encoding="utf-8"?>
<sst xmlns="http://schemas.openxmlformats.org/spreadsheetml/2006/main" count="6380" uniqueCount="1203">
  <si>
    <t>Months in first year</t>
  </si>
  <si>
    <t>Months in second year</t>
  </si>
  <si>
    <t>First year</t>
  </si>
  <si>
    <t>End of Test Period</t>
  </si>
  <si>
    <t>Second year</t>
  </si>
  <si>
    <t>Beg of Test Period</t>
  </si>
  <si>
    <t>Total</t>
  </si>
  <si>
    <t>Beginning</t>
  </si>
  <si>
    <t>Ending</t>
  </si>
  <si>
    <t>Year</t>
  </si>
  <si>
    <t>Mo</t>
  </si>
  <si>
    <t>%</t>
  </si>
  <si>
    <t>M</t>
  </si>
  <si>
    <t>Years</t>
  </si>
  <si>
    <t>Depr</t>
  </si>
  <si>
    <t>Cost</t>
  </si>
  <si>
    <t>Date in</t>
  </si>
  <si>
    <t>Salvage</t>
  </si>
  <si>
    <t>Asset</t>
  </si>
  <si>
    <t>Accum</t>
  </si>
  <si>
    <t>Average</t>
  </si>
  <si>
    <t>Codes</t>
  </si>
  <si>
    <t>Asset Classification</t>
  </si>
  <si>
    <t xml:space="preserve">Service </t>
  </si>
  <si>
    <t>Value</t>
  </si>
  <si>
    <t>Method</t>
  </si>
  <si>
    <t xml:space="preserve">Life </t>
  </si>
  <si>
    <t xml:space="preserve">Fully </t>
  </si>
  <si>
    <t xml:space="preserve">Monthly </t>
  </si>
  <si>
    <t>Investment</t>
  </si>
  <si>
    <t>S/L</t>
  </si>
  <si>
    <t>05</t>
  </si>
  <si>
    <t>Truck</t>
  </si>
  <si>
    <t>DMS3000 ROUTEWARE UNITS</t>
  </si>
  <si>
    <t>Garbage</t>
  </si>
  <si>
    <t>10</t>
  </si>
  <si>
    <t>Recycle</t>
  </si>
  <si>
    <t>'02 INT'L 4900 4X2 W/20 YD METROPAK</t>
  </si>
  <si>
    <t>'02 Kenworth T800B Dump Truck</t>
  </si>
  <si>
    <t>Trailer</t>
  </si>
  <si>
    <t>'02 Pioneer Dump Pup Trailer</t>
  </si>
  <si>
    <t>'03 PETE 320 W/USED F/L PACKER UNIT</t>
  </si>
  <si>
    <t>'05 AUTOCAR W/27 CY WAYNE CURBTENDER</t>
  </si>
  <si>
    <t>YW</t>
  </si>
  <si>
    <t>'05 PETE 320 W/27 CY CURBTENDER</t>
  </si>
  <si>
    <t>'05 STERLING DUMP TRUCK &amp; PUP</t>
  </si>
  <si>
    <t>'05 STERLING DUMP&amp;PUP</t>
  </si>
  <si>
    <t>Roll Off</t>
  </si>
  <si>
    <t>'05 VOLVO W/DROP MECHANISM</t>
  </si>
  <si>
    <t>'06 INT'L W/20YD METRO-PAK REAR LOADER</t>
  </si>
  <si>
    <t>'06 PETE W/27 CY CURBTENDER</t>
  </si>
  <si>
    <t>'06 PETE W/27 CY WAYNE CURBTENDER</t>
  </si>
  <si>
    <t>Tractor</t>
  </si>
  <si>
    <t>'06 STERLING TRACTOR</t>
  </si>
  <si>
    <t>'06 VOLVO TRACTOR</t>
  </si>
  <si>
    <t>'07 Autocar w/FL Packer Body</t>
  </si>
  <si>
    <t>'07 INT'L  W/METROPAK R/L BODY</t>
  </si>
  <si>
    <t>'07 INT'L W/METROPAK R/L BODY</t>
  </si>
  <si>
    <t>'07 Pete w/27 cy Wayne Curbtender</t>
  </si>
  <si>
    <t>'07 VOLVO TRACTOR</t>
  </si>
  <si>
    <t>'07 Volvo Tractor</t>
  </si>
  <si>
    <t>'08 Volvo w/HELM Drop</t>
  </si>
  <si>
    <t>'08 Volvo W/HELM Rolloff</t>
  </si>
  <si>
    <t>1 YD R/L</t>
  </si>
  <si>
    <t>1 YD R/L ARMY CONTAINERS</t>
  </si>
  <si>
    <t>1 YD R/L CONTAINER</t>
  </si>
  <si>
    <t>1 YD R/L W/PLASTIC LIDS</t>
  </si>
  <si>
    <t>1.5 YD F/L CONTAINERS</t>
  </si>
  <si>
    <t>1.5 YD F/L F/T W/ LIDS</t>
  </si>
  <si>
    <t>1.5 YD R/L W/ LIDS</t>
  </si>
  <si>
    <t>15 YD DB</t>
  </si>
  <si>
    <t>16' DROP BOX LIDS</t>
  </si>
  <si>
    <t>16.7 YD DROP BOXES</t>
  </si>
  <si>
    <t>Scrapped</t>
  </si>
  <si>
    <t>1994 KENWORTH</t>
  </si>
  <si>
    <t>2 YD CONTAINER</t>
  </si>
  <si>
    <t>2 YD F/L CONTAINERS</t>
  </si>
  <si>
    <t>2 YD F/L W/LIDS</t>
  </si>
  <si>
    <t>2 YD R/L CONTAINERS</t>
  </si>
  <si>
    <t>2 YD R/L RECYCLE CONTAINERS</t>
  </si>
  <si>
    <t>2 YD R/L W/PLASTIC LIDS</t>
  </si>
  <si>
    <t>2 YD RECYCLE CONTAINERS</t>
  </si>
  <si>
    <t>20 YD CORRUGATED OPEN-TOP DROP BOX</t>
  </si>
  <si>
    <t>20 YD CURROGATED DROP BOX</t>
  </si>
  <si>
    <t>20 YD DROP BOX</t>
  </si>
  <si>
    <t>20 YD DROP BOXES FOR CDL</t>
  </si>
  <si>
    <t>20 YD DROP BOXES W/LIDS</t>
  </si>
  <si>
    <t>20 YD LOW STRUC DB</t>
  </si>
  <si>
    <t>20 YD METRO-PAK REAR LOADER</t>
  </si>
  <si>
    <t>2000 INTERNATIONAL 9100I TRACTOR</t>
  </si>
  <si>
    <t>2000 INT'L 9100I TRACTOR</t>
  </si>
  <si>
    <t>2009 Type H TSide ASL</t>
  </si>
  <si>
    <t>28 YD RECYCLE STATIONS</t>
  </si>
  <si>
    <t>3 YD CONTAINERS</t>
  </si>
  <si>
    <t>3 YD F/L CONTAINERS</t>
  </si>
  <si>
    <t>3 YD F/L W/PLASTIC LIDS</t>
  </si>
  <si>
    <t>3 YD NUWAVE CONTAINERS</t>
  </si>
  <si>
    <t>30 YD CORR. D.B.</t>
  </si>
  <si>
    <t>30 YD DB &amp; LID</t>
  </si>
  <si>
    <t>30 YD DB W/EZ REVERSE</t>
  </si>
  <si>
    <t>30 YD DROP BOX</t>
  </si>
  <si>
    <t>30 YD SOLID LID</t>
  </si>
  <si>
    <t>30 YD SOLID LIDS</t>
  </si>
  <si>
    <t>30 YD STRUCTURAL DROPBOX</t>
  </si>
  <si>
    <t>30 YD W/ LID</t>
  </si>
  <si>
    <t>30 YD W/ SOLID LIDS</t>
  </si>
  <si>
    <t>30 YD W/LIDS</t>
  </si>
  <si>
    <t>30 YD W/SOLID LID</t>
  </si>
  <si>
    <t>30 YD W/SOLID LIDS</t>
  </si>
  <si>
    <t>4 YD / 3YD TIPPLER BINS</t>
  </si>
  <si>
    <t>4 YD CONTAINERS</t>
  </si>
  <si>
    <t>4 YD F/L CONTAINERS</t>
  </si>
  <si>
    <t>4 YD F/L RECYCLE CONTAINERS</t>
  </si>
  <si>
    <t>40 CY DROP BOXES</t>
  </si>
  <si>
    <t>40 YD CONTAINERS</t>
  </si>
  <si>
    <t>40 YD DB</t>
  </si>
  <si>
    <t>40 YD DEMO BOXES</t>
  </si>
  <si>
    <t>40 YD DROP BOX</t>
  </si>
  <si>
    <t>48 GALLON RECYCLE CARTS</t>
  </si>
  <si>
    <t>5 YD C/B CONTAINERS</t>
  </si>
  <si>
    <t>5 YD CARDBOARD BINS</t>
  </si>
  <si>
    <t>5 YD CARDBOARD CONTAINERS</t>
  </si>
  <si>
    <t>5 YD F/L CARDBOARD</t>
  </si>
  <si>
    <t>5 YD F/L CARDBOARD BINS</t>
  </si>
  <si>
    <t>5 YD F/L CARDBOARD CONTAINERS</t>
  </si>
  <si>
    <t>5 YD F/L CB CONTAINERS</t>
  </si>
  <si>
    <t>5 YD FL CARDBOARD CONTAINERS</t>
  </si>
  <si>
    <t>50 YD DROP BOX</t>
  </si>
  <si>
    <t>6 GALLON APT. RECYCLE</t>
  </si>
  <si>
    <t>6 GALLON APT. RECYCLE BINS</t>
  </si>
  <si>
    <t>6 GALLON RECYCLE BINS</t>
  </si>
  <si>
    <t>6 YD F/L CARDBOARD CONTAINERS</t>
  </si>
  <si>
    <t>6 YD F/L CONTAINERS</t>
  </si>
  <si>
    <t>6 YD F/L RECYCLE CONTAINERS</t>
  </si>
  <si>
    <t>65 GALLON BLUE CARTS</t>
  </si>
  <si>
    <t>65 GALLON CART</t>
  </si>
  <si>
    <t>65 GALLON CART ASSEMBLY</t>
  </si>
  <si>
    <t>65 GALLON CART ASSY</t>
  </si>
  <si>
    <t>65 GALLON GREEN</t>
  </si>
  <si>
    <t>65 GALLON GREEN CARTS</t>
  </si>
  <si>
    <t>65 GALLONG GREY CARTS</t>
  </si>
  <si>
    <t>68 GALLON GREEN CONT</t>
  </si>
  <si>
    <t>68 GALLON GREEN CONT.</t>
  </si>
  <si>
    <t>750 NESTABLE RECYCLE BIN SETS</t>
  </si>
  <si>
    <t>8 YD CONTAINERS</t>
  </si>
  <si>
    <t>8 YD F/L CATHEDRAL</t>
  </si>
  <si>
    <t>8 YD F/L CONTAINERS</t>
  </si>
  <si>
    <t>'87 COMET 28' S/A VAN TRAILER</t>
  </si>
  <si>
    <t>95 GALLON  BLUE</t>
  </si>
  <si>
    <t>95 GALLON  BLUE CARTS</t>
  </si>
  <si>
    <t>95 GALLON  GREEN CARTS</t>
  </si>
  <si>
    <t>95 GALLON  PC RECYCLE CARTS</t>
  </si>
  <si>
    <t>95 GALLON  W/ LIDS</t>
  </si>
  <si>
    <t>95 GALLON BLUE CART</t>
  </si>
  <si>
    <t>95 GALLON BLUE CARTS</t>
  </si>
  <si>
    <t>95 GALLON CARTS</t>
  </si>
  <si>
    <t>95 GALLON GRAY RECYCLE CARTS</t>
  </si>
  <si>
    <t>95 GALLON GREEN CARTS</t>
  </si>
  <si>
    <t>95 GALLON GREY CARTS</t>
  </si>
  <si>
    <t>95 GALLON GREY RECYCLE CARTS</t>
  </si>
  <si>
    <t>95 GALLON RECYCLE CARTS</t>
  </si>
  <si>
    <t>Delivery</t>
  </si>
  <si>
    <t>ASSEM/DELIV RECYCLE CARTS</t>
  </si>
  <si>
    <t>ASSEMBLE/DELIVER RECYCLE TOTERS</t>
  </si>
  <si>
    <t>Autogreaser for Truck 4067</t>
  </si>
  <si>
    <t>CART DUMPER ASSEMBLY</t>
  </si>
  <si>
    <t>Drop Axle on 5614</t>
  </si>
  <si>
    <t>FET PAID AT AUDIT</t>
  </si>
  <si>
    <t>FLUP - Truck 7375</t>
  </si>
  <si>
    <t>FLUP - Truck 7389 - NC Machinery</t>
  </si>
  <si>
    <t>JLG 40 H FORKLIFT (Now # 7968)</t>
  </si>
  <si>
    <t>Lift Axle for 5617</t>
  </si>
  <si>
    <t>Modify Dump Body</t>
  </si>
  <si>
    <t>Modify Dump Pup Trailer</t>
  </si>
  <si>
    <t>Modify Pup Trailer</t>
  </si>
  <si>
    <t>RECYCLE COMPACTOR</t>
  </si>
  <si>
    <t>RUBBERMAID SNAP-LIDS</t>
  </si>
  <si>
    <t>SIGNS FOR RECYCLE BOXES</t>
  </si>
  <si>
    <t>Shop</t>
  </si>
  <si>
    <t>Garbage SP</t>
  </si>
  <si>
    <t>'00 PETE 320 W/LEACH 24YD BODY</t>
  </si>
  <si>
    <t>'01 ISUZU NPR VAN TRUCK</t>
  </si>
  <si>
    <t>'02 DODGE DAKOTA</t>
  </si>
  <si>
    <t>'02 INT'L 4900 4X2 2/20YD METRO-PAK</t>
  </si>
  <si>
    <t>'02 INT'L 4900 4XS W/20 YD METRO-PAK</t>
  </si>
  <si>
    <t>'02 PETE 320 W/27CY CURBTENDER</t>
  </si>
  <si>
    <t>'03 HELM 53' CHASSIS</t>
  </si>
  <si>
    <t>'03 HELM CHASSIS TRAILER</t>
  </si>
  <si>
    <t>'03 PETE 320</t>
  </si>
  <si>
    <t>'03 PETERBILT 320 W/ 27 CY CURBTENDER</t>
  </si>
  <si>
    <t>'03 PETERBILT W/27 YD CURBTENDER</t>
  </si>
  <si>
    <t>'04 HELM 53' CHASSIS</t>
  </si>
  <si>
    <t>'04 HELM 53' CHASSIS TRAILER</t>
  </si>
  <si>
    <t xml:space="preserve">Garbage  </t>
  </si>
  <si>
    <t>'04 INT'L 7400 W/20YD REAR LOADER</t>
  </si>
  <si>
    <t>'05 AUTOCAR W/27 CY CURBTENDER</t>
  </si>
  <si>
    <t>'05 AUTOCAR W/27CY CURBTENDER</t>
  </si>
  <si>
    <t>'05 AUTOCAR W/40 YD F/L BODY</t>
  </si>
  <si>
    <t>'05 AUTOCAR W/LEACH BODY</t>
  </si>
  <si>
    <t>'05 DODGE DAKOTA</t>
  </si>
  <si>
    <t>'05 GMC Shop Service Veh.</t>
  </si>
  <si>
    <t>Recycle SP</t>
  </si>
  <si>
    <t>'05 PETE 320 W/27 YD WAYNE CURBTENDER</t>
  </si>
  <si>
    <t>'05 PETE 320 W/27CY WAYNE CURBTENDER</t>
  </si>
  <si>
    <t>'06 GMC VAN TRUCK</t>
  </si>
  <si>
    <t>'06 METRO-PAK REAR LOADER</t>
  </si>
  <si>
    <t>'06 PETE W/27 CY CURBTENDER BODY</t>
  </si>
  <si>
    <t>'06 PETE W/30 YD PENDPAC</t>
  </si>
  <si>
    <t>'06 PETE W/PENDPAC</t>
  </si>
  <si>
    <t>'06 VOLVO W/HELM ROLLOFF</t>
  </si>
  <si>
    <t>'07 INT'L W/METROKPAK R/L BODY</t>
  </si>
  <si>
    <t>'07 Peterbilt 320 w/27 CY Curbtender</t>
  </si>
  <si>
    <t>'07 VOLVO W/HELM BOOM</t>
  </si>
  <si>
    <t>'07 VOLVO W/HELM ROLL OFF</t>
  </si>
  <si>
    <t>1 YD</t>
  </si>
  <si>
    <t>1 YD &amp; 1.5 YARD CONTAINER</t>
  </si>
  <si>
    <t>1 YD / 2 YD / 4YD CONTAINERS</t>
  </si>
  <si>
    <t>1 YD COMBO W/LIDS</t>
  </si>
  <si>
    <t>1 YD COMBO W/PLASTIC LIDS</t>
  </si>
  <si>
    <t>1 YD CONTAINER</t>
  </si>
  <si>
    <t>1 YD F/L FLAT TOP</t>
  </si>
  <si>
    <t>1 YD F/L FLAT TOPS</t>
  </si>
  <si>
    <t>1 YD F/L W/LIDS</t>
  </si>
  <si>
    <t>1 YD R/L W/ LIDS</t>
  </si>
  <si>
    <t>1 YD R/L W/LID</t>
  </si>
  <si>
    <t>1 YD R/L W/LIDS</t>
  </si>
  <si>
    <t>1 YD R/L W/LIDS &amp; CASTERS</t>
  </si>
  <si>
    <t>1 YD R/L W/PLASTIC LIDS &amp; 4/0 CASTERS</t>
  </si>
  <si>
    <t>1 YD R/L W/PLASTIC LIDS &amp; CASTORS</t>
  </si>
  <si>
    <t>1 YD W/LIDS</t>
  </si>
  <si>
    <t>1.5 R/L</t>
  </si>
  <si>
    <t>1.5 YD</t>
  </si>
  <si>
    <t>1.5 YD &amp; 2 &amp; 6 YD CONTAINERS</t>
  </si>
  <si>
    <t>1.5 YD F/L W/ LIDS</t>
  </si>
  <si>
    <t>1.5 YD R/L BINS</t>
  </si>
  <si>
    <t>1.5 YD R/L W/STEEL LIDS</t>
  </si>
  <si>
    <t>1.5 YD REAR LOAD</t>
  </si>
  <si>
    <t>1.5 YD RL</t>
  </si>
  <si>
    <t>1.5 YD TIPPLER BINS</t>
  </si>
  <si>
    <t>1.5 YD W/PLASTIC LIDS</t>
  </si>
  <si>
    <t>10 Ton Porta Power</t>
  </si>
  <si>
    <t>15 YD DROPBOX</t>
  </si>
  <si>
    <t>1994 CHINOOK CONT TRLR</t>
  </si>
  <si>
    <t>1994 CHINOOK TRAILER</t>
  </si>
  <si>
    <t>1996 PETE F/L</t>
  </si>
  <si>
    <t>1997 CHINOOK CHASSIS</t>
  </si>
  <si>
    <t>1998 53' 4-AXLE CONTAINER</t>
  </si>
  <si>
    <t>1999 53' 4-AXLE CONTAINER</t>
  </si>
  <si>
    <t>2 YD R/L W/ LIDS</t>
  </si>
  <si>
    <t>20 YD OPEN</t>
  </si>
  <si>
    <t>20 YD OPEN TOP</t>
  </si>
  <si>
    <t>20 YD RECYCLE DROP BOXES</t>
  </si>
  <si>
    <t>20 YD SOLID LID</t>
  </si>
  <si>
    <t>20 YD W/ SOLID LIDS</t>
  </si>
  <si>
    <t>20 YD W/LID</t>
  </si>
  <si>
    <t>20 YD W/LIDS</t>
  </si>
  <si>
    <t>20 YD W/SOLID LIDS</t>
  </si>
  <si>
    <t>2009 Peterbilt 320 Body</t>
  </si>
  <si>
    <t>2009 Type H Front FEL (CNG)</t>
  </si>
  <si>
    <t>28 YD GLASS RECYCLE BOXES</t>
  </si>
  <si>
    <t>3 YD F/L W/ LIDS</t>
  </si>
  <si>
    <t>3 YD F/L W/LIDS</t>
  </si>
  <si>
    <t>3 YD F/L W/LIDS &amp; SKIDS</t>
  </si>
  <si>
    <t>30 YD</t>
  </si>
  <si>
    <t>30 YD CARBOARD RECYCLE</t>
  </si>
  <si>
    <t>30 YD CONTAINER</t>
  </si>
  <si>
    <t>30 YD CONTAINERS</t>
  </si>
  <si>
    <t>30 YD DEMO DROP BOXES</t>
  </si>
  <si>
    <t>30 YD LONG LOW DROP BOX</t>
  </si>
  <si>
    <t>32 GALLON ROUND CANS</t>
  </si>
  <si>
    <t>32 x 102 CHASSIS</t>
  </si>
  <si>
    <t>4 YD F/L BINS</t>
  </si>
  <si>
    <t>4 YD F/L W/ LIDS</t>
  </si>
  <si>
    <t>4 YD F/L W/LIDS &amp; SKIDS</t>
  </si>
  <si>
    <t>4 YD F/L W/PLASTIC LIDS</t>
  </si>
  <si>
    <t>4 YD TIPPLER</t>
  </si>
  <si>
    <t>4 YD TIPPLERS</t>
  </si>
  <si>
    <t>40 YD STRUCT. DB</t>
  </si>
  <si>
    <t>40YD F/L BODY</t>
  </si>
  <si>
    <t>5 YD F/L CONTAINERS</t>
  </si>
  <si>
    <t>53 x 102 CHASSIS</t>
  </si>
  <si>
    <t>6 CY F/L CONTAINERS</t>
  </si>
  <si>
    <t>6 YD CONTAINERS</t>
  </si>
  <si>
    <t>6 YD F/L CATEHDRAL</t>
  </si>
  <si>
    <t>6 YD F/L CATHEDRAL</t>
  </si>
  <si>
    <t>64 GALLON GRAY RECYCLE CARTS</t>
  </si>
  <si>
    <t>65 GALLON CART ASSY 20</t>
  </si>
  <si>
    <t>65 GALLON CARTS</t>
  </si>
  <si>
    <t>68 GALLON CARTS</t>
  </si>
  <si>
    <t>68 GALLON GREEN</t>
  </si>
  <si>
    <t>68 GALLON GREEN CARTS</t>
  </si>
  <si>
    <t>'90 CHEV 2500 PU</t>
  </si>
  <si>
    <t>95 GALLON  BLUE YARD WASTE</t>
  </si>
  <si>
    <t>95 GALLON  BLUE YD WASTE</t>
  </si>
  <si>
    <t>95 GALLON  BLUE YD WST</t>
  </si>
  <si>
    <t>95 GALLON  BLUE YDWASTE</t>
  </si>
  <si>
    <t>95 GALLON  BLUE YW BINS</t>
  </si>
  <si>
    <t>95 GALLON  BLUE YW WASTE</t>
  </si>
  <si>
    <t>95 GALLON  CARTS</t>
  </si>
  <si>
    <t>95 GALLON  CARTS - BLUE</t>
  </si>
  <si>
    <t>95 GALLON  CARTS-BLUE</t>
  </si>
  <si>
    <t>95 GALLON  DK BLUE</t>
  </si>
  <si>
    <t>95 GALLON  GREY RECYCLE CARTS</t>
  </si>
  <si>
    <t>95 GALLON  ROC DARK BLUE</t>
  </si>
  <si>
    <t>95 GALLON  ROC DRK BLUE</t>
  </si>
  <si>
    <t>95 GALLON  YARD WASTE</t>
  </si>
  <si>
    <t>95 GALLON  YD WASTE</t>
  </si>
  <si>
    <t>95 GALLON BLUE</t>
  </si>
  <si>
    <t>95 GALLON BLUE YD WASTE</t>
  </si>
  <si>
    <t>95 GALLON W/LIDS</t>
  </si>
  <si>
    <t>95 GALLON YARD WASTE</t>
  </si>
  <si>
    <t>95 GALLON YW</t>
  </si>
  <si>
    <t>95 GALLON-BLUE</t>
  </si>
  <si>
    <t>'99 PETE W/CASCADE R/O AND TARPER</t>
  </si>
  <si>
    <t>'99 VOLVO WX64 W/LABRIE OPTIMIZER</t>
  </si>
  <si>
    <t>Autogreaser for Truck 4070</t>
  </si>
  <si>
    <t>Capital Repair Truck 9578</t>
  </si>
  <si>
    <t>DELTA TRAILER</t>
  </si>
  <si>
    <t>FAB/DELIV RECYCLE CARTS</t>
  </si>
  <si>
    <t>FLUP - Truck 3554</t>
  </si>
  <si>
    <t>FLUP - Truck 3581</t>
  </si>
  <si>
    <t>FLUP- Truck 3568</t>
  </si>
  <si>
    <t>FLUP-Truck 2003</t>
  </si>
  <si>
    <t>FLUP-Truck 8836</t>
  </si>
  <si>
    <t>FORD 1 TON</t>
  </si>
  <si>
    <t>GREASE SYSTEM ON 1023</t>
  </si>
  <si>
    <t>GREASER UNIT FOR 1052</t>
  </si>
  <si>
    <t>GREASER UNIT FOR 3583</t>
  </si>
  <si>
    <t>HELM 46'-53' CONTAINER CHASSIS</t>
  </si>
  <si>
    <t>RECYCLE CART LIDS</t>
  </si>
  <si>
    <t>REFURBISH TRAILER</t>
  </si>
  <si>
    <t>Transmission Capital Repair on 1996 FEL</t>
  </si>
  <si>
    <t>USE TAX ON 20 YD BOXES</t>
  </si>
  <si>
    <t>VARIOUS USED CONTAINERS</t>
  </si>
  <si>
    <t>VIDEO CAMERA</t>
  </si>
  <si>
    <t>Truck #</t>
  </si>
  <si>
    <t>Dist #</t>
  </si>
  <si>
    <t>FAS #</t>
  </si>
  <si>
    <t>Deprec</t>
  </si>
  <si>
    <t>Trucks</t>
  </si>
  <si>
    <t>LOB</t>
  </si>
  <si>
    <t>RL</t>
  </si>
  <si>
    <t>ASL</t>
  </si>
  <si>
    <t>RO</t>
  </si>
  <si>
    <t>DEL</t>
  </si>
  <si>
    <t>FL</t>
  </si>
  <si>
    <t>2000 PETERBILT CURBTENDER</t>
  </si>
  <si>
    <t>96 MACK 40YD F/L BODY</t>
  </si>
  <si>
    <t>1995 PETERBILT 40YD PACKER</t>
  </si>
  <si>
    <t>1996 MACK 40YD FL</t>
  </si>
  <si>
    <t>FLUP - 6034</t>
  </si>
  <si>
    <t xml:space="preserve">Pierce County Regulated </t>
  </si>
  <si>
    <t>UTIL</t>
  </si>
  <si>
    <t>TS</t>
  </si>
  <si>
    <t>Qty</t>
  </si>
  <si>
    <t xml:space="preserve">40 YD PACKER </t>
  </si>
  <si>
    <t xml:space="preserve">68 GALLON FRST GRN </t>
  </si>
  <si>
    <t>65 GALLON RECYCLE CARTS</t>
  </si>
  <si>
    <t>95 GALLON BLUE CARTS - YW</t>
  </si>
  <si>
    <t>30 YD SHOW CONTAINERS</t>
  </si>
  <si>
    <t>96 GALLON  GREEN CARTS</t>
  </si>
  <si>
    <t xml:space="preserve">95 GALLON FORST GREEN </t>
  </si>
  <si>
    <t>SHOP EQUIPMENT</t>
  </si>
  <si>
    <t>TOTAL SHOP EQUIPMENT</t>
  </si>
  <si>
    <t>SERVICE EQUIPMENT</t>
  </si>
  <si>
    <t>TOTAL SERVICE EQUIPMENT</t>
  </si>
  <si>
    <t>OFFICE EQUIPMENT</t>
  </si>
  <si>
    <t>TOTAL OFFICE EQUIPMENT</t>
  </si>
  <si>
    <t>48 GALLON CARTS</t>
  </si>
  <si>
    <t>Parent #</t>
  </si>
  <si>
    <t>71935, 72374, 71934</t>
  </si>
  <si>
    <t>TRANSMISSION REPAIR - TRUCK 2021</t>
  </si>
  <si>
    <t>P</t>
  </si>
  <si>
    <t>ENGINE REPAIR - TRUCK 1023</t>
  </si>
  <si>
    <t>66887</t>
  </si>
  <si>
    <t>CAPITAL REPAIR - TRUCK 1033</t>
  </si>
  <si>
    <t>60738</t>
  </si>
  <si>
    <t xml:space="preserve">ROUTWARE INSTALLATIONS </t>
  </si>
  <si>
    <t>65 GAL REFUSE CARTS - FOREST GREEN</t>
  </si>
  <si>
    <t>95 GAL RECYCLE CARTS - GRAY</t>
  </si>
  <si>
    <t>2 YARD F/L CONTAINER</t>
  </si>
  <si>
    <t>3 YARD F/L CONTAINER (PLASTIC)</t>
  </si>
  <si>
    <t>2 YARD R/L CONTAINER</t>
  </si>
  <si>
    <t>1 YARD F/L CONTAINERS</t>
  </si>
  <si>
    <t>95 GAL REFUSE CARTS - FOREST GREEN</t>
  </si>
  <si>
    <t>SHELVING FOR FREDRICKSON ARCHIVE</t>
  </si>
  <si>
    <t>CISCO POE SWITCHES</t>
  </si>
  <si>
    <t>ROUTE MANAGER LICENSES</t>
  </si>
  <si>
    <t>ROUTE MGR LICENSES &amp; 21 USERS</t>
  </si>
  <si>
    <t>HP NOTEBOOK/DOCKING STN/MONITOR</t>
  </si>
  <si>
    <t>4 Yd FEL (Plastic) &amp; (40) Drain Plugs</t>
  </si>
  <si>
    <t>2180 Trucks</t>
  </si>
  <si>
    <t>2180 Other Assets</t>
  </si>
  <si>
    <t>2010 AUTOCAR ACX ASL</t>
  </si>
  <si>
    <t>76651, 76780</t>
  </si>
  <si>
    <t>Equipment</t>
  </si>
  <si>
    <t>Test Year</t>
  </si>
  <si>
    <t>Accum Depr</t>
  </si>
  <si>
    <t>Total Trucks</t>
  </si>
  <si>
    <t>Containers, Carts, Drop Boxes</t>
  </si>
  <si>
    <t>Garbage Containers</t>
  </si>
  <si>
    <t>Drop Boxes</t>
  </si>
  <si>
    <t>Garbage Carts</t>
  </si>
  <si>
    <t>Recycling Carts</t>
  </si>
  <si>
    <t>Total Containers, Carts, Drop Boxes</t>
  </si>
  <si>
    <t>Shop Equipment</t>
  </si>
  <si>
    <t>Service Equipment</t>
  </si>
  <si>
    <t>Office Equipment</t>
  </si>
  <si>
    <t>Total Equipment</t>
  </si>
  <si>
    <t>Land &amp; LH</t>
  </si>
  <si>
    <t>Land</t>
  </si>
  <si>
    <t>Total Land &amp; LH</t>
  </si>
  <si>
    <t>UTC Group Tracking</t>
  </si>
  <si>
    <t>Updated Through</t>
  </si>
  <si>
    <t>Updated By</t>
  </si>
  <si>
    <t>FAR Adds</t>
  </si>
  <si>
    <t>UTC Sched Adds</t>
  </si>
  <si>
    <t>Difference</t>
  </si>
  <si>
    <t>HL</t>
  </si>
  <si>
    <t>Fort Lewis</t>
  </si>
  <si>
    <t>Schnitzer</t>
  </si>
  <si>
    <t>Transfer Hauls</t>
  </si>
  <si>
    <t>2009 Type H Drop R/O</t>
  </si>
  <si>
    <t>Licensed?</t>
  </si>
  <si>
    <t>N</t>
  </si>
  <si>
    <t>87 COMET 28' S/A VAN TRAILER</t>
  </si>
  <si>
    <t>Tractor - not licensed</t>
  </si>
  <si>
    <t>N/A</t>
  </si>
  <si>
    <t>Y</t>
  </si>
  <si>
    <t>TOTAL GARBAGE TRUCKS</t>
  </si>
  <si>
    <t>GARBAGE TRUCKS</t>
  </si>
  <si>
    <t>ROLL OFF TRUCKS</t>
  </si>
  <si>
    <t>TOTAL ROLL OFF TRUCKS</t>
  </si>
  <si>
    <t>CURBSIDE RECYCLE TRUCKS</t>
  </si>
  <si>
    <t>TOTAL CURBSIDE RECYCLE TRUCKS</t>
  </si>
  <si>
    <t>YARD WASTE TRUCKS</t>
  </si>
  <si>
    <t>TOTAL YARD WASTE TRUCKS</t>
  </si>
  <si>
    <t>TRANSFER STATION</t>
  </si>
  <si>
    <t>TOTAL TRANSFER STATION TRUCKS</t>
  </si>
  <si>
    <t>SCHNITZER "FLUFF" DUMP TRUCKS</t>
  </si>
  <si>
    <t>TOTAL SCHNITZER TRUCKS</t>
  </si>
  <si>
    <t>Yard Waste</t>
  </si>
  <si>
    <t>Drive Cams - Install, Recorders, Subscription</t>
  </si>
  <si>
    <t>67195, 67196, 67202, 67203, 68609</t>
  </si>
  <si>
    <t>GRAND TOTAL TRUCKS</t>
  </si>
  <si>
    <t>11086, 11087, 11090</t>
  </si>
  <si>
    <t>Routeware Units/Installation</t>
  </si>
  <si>
    <t>67197, 67204, 68610</t>
  </si>
  <si>
    <t>Drive Cams-Recorders, Install, Subsrcipt.</t>
  </si>
  <si>
    <t>GARBAGE CONTAINERS</t>
  </si>
  <si>
    <t>TOTAL GARBAGE CONTAINERS</t>
  </si>
  <si>
    <t>GARBAGE CARTS</t>
  </si>
  <si>
    <t>TOTAL DROP BOXES</t>
  </si>
  <si>
    <t>DROP BOXES</t>
  </si>
  <si>
    <t>TOTAL GARBAGE CARTS</t>
  </si>
  <si>
    <t>TOTAL RECYCLE CARTS</t>
  </si>
  <si>
    <t>YARD WASTE CARTS</t>
  </si>
  <si>
    <t>GRAND TOTAL CARTS/CONT/DB</t>
  </si>
  <si>
    <t>RECYCLE CONTAINERS</t>
  </si>
  <si>
    <t>TOTAL RECYCLE CONTAINERS</t>
  </si>
  <si>
    <t xml:space="preserve">20 YD CONTAINER </t>
  </si>
  <si>
    <t>RECYCLE DROP BOXES</t>
  </si>
  <si>
    <t>TOTAL RECYCLE DROP BOXES</t>
  </si>
  <si>
    <t>2002 Used Ryder Van Truck - Cont Delivery</t>
  </si>
  <si>
    <t>TOTAL YARD WASTE CARTS</t>
  </si>
  <si>
    <t>GRAND TOTAL</t>
  </si>
  <si>
    <t>Recycle Drop Boxes</t>
  </si>
  <si>
    <t>Rear Load Truck</t>
  </si>
  <si>
    <t>Supervisor</t>
  </si>
  <si>
    <t>00 CHEV 3500 SHOP TRUCK</t>
  </si>
  <si>
    <t>1992 MITSUBISHI - FOR LAKEWOOD</t>
  </si>
  <si>
    <t>99 ISUZU NQR CAB &amp; CHASSIS - FOR LAKEWOOD</t>
  </si>
  <si>
    <t>97 GMC C6500 w/Container Carrier - Ft. Lewis</t>
  </si>
  <si>
    <t>1995 Ford Truck L8000 (Cont. Delivery Ft. Lewis)</t>
  </si>
  <si>
    <t>1996 FRUEHAUF - FT. LEWIS</t>
  </si>
  <si>
    <t>Transfer Haul</t>
  </si>
  <si>
    <t>TRUCKS NOT LICENSED</t>
  </si>
  <si>
    <t>COMMERCIAL RECYCLING TRUCKS</t>
  </si>
  <si>
    <t>RL-OCC</t>
  </si>
  <si>
    <t>2000 INT'L 4900 RL - FT. LEWIS FOOD WASTE</t>
  </si>
  <si>
    <t>FL-OCC</t>
  </si>
  <si>
    <t>CAT WHEEL LOADER - for Schnitzer</t>
  </si>
  <si>
    <t>CAT LOADER - FOR SCHNITZER</t>
  </si>
  <si>
    <t>HYSTER FORKLIFT - FORT LEWIS RECYCLING CTR.</t>
  </si>
  <si>
    <t>TRANSFER STATION HAULING</t>
  </si>
  <si>
    <t>2007 F-150 SUPERVISOR TRUCK</t>
  </si>
  <si>
    <t>REBUILT CYLINDER HD UNIT #1027</t>
  </si>
  <si>
    <t>1996 VOLVO FE42 - VA HOSPITAL</t>
  </si>
  <si>
    <t>1997 VOLVO FE42 - VA HOSPITAL</t>
  </si>
  <si>
    <t>20 YD METRO-PAK REL BED - VA HOSPITAL</t>
  </si>
  <si>
    <t>95 GAL YARD DEBRIS CARTS &amp; LIDS</t>
  </si>
  <si>
    <t>35 GAL REFUSE CARTS - FOREST GREEN</t>
  </si>
  <si>
    <t>4 YD PLASTIC CONTAINER</t>
  </si>
  <si>
    <t>3 YD PLASTIC CONTAINER</t>
  </si>
  <si>
    <t>84564, 84565, 84566</t>
  </si>
  <si>
    <t>84569, 84567</t>
  </si>
  <si>
    <t>68 GALLON REFUSE CARTS</t>
  </si>
  <si>
    <t xml:space="preserve">68 GALLON GREEN </t>
  </si>
  <si>
    <t>1 YD CONTAINERS</t>
  </si>
  <si>
    <t>1.5 YD CONTAINERS</t>
  </si>
  <si>
    <t>5 YD CONTAINERS</t>
  </si>
  <si>
    <t>84451, 84460</t>
  </si>
  <si>
    <t>84571, 84572</t>
  </si>
  <si>
    <t>84574, 84573</t>
  </si>
  <si>
    <t>25 YD DROP BOX</t>
  </si>
  <si>
    <t>84461, 84452</t>
  </si>
  <si>
    <t>10 YD DROP BOX</t>
  </si>
  <si>
    <t>84453, 84462</t>
  </si>
  <si>
    <t>82071, 82072</t>
  </si>
  <si>
    <t>95 GAL YW -  BLUE CARTS</t>
  </si>
  <si>
    <t>SPANCO 1 TON FREESTANDING JIB</t>
  </si>
  <si>
    <t>80460, 80692</t>
  </si>
  <si>
    <t>SIGNS, DECALS, LETTERING FREDERICKSON</t>
  </si>
  <si>
    <t>80702, 80701, 80700, 81106, 80699, 80704, 80703, 80697, 80698</t>
  </si>
  <si>
    <t xml:space="preserve">FREDERICKSON BUILDING </t>
  </si>
  <si>
    <t>Many</t>
  </si>
  <si>
    <t>84031, 84029, 84030, 84036, 84033, 84035, 84032, 84034</t>
  </si>
  <si>
    <t>METAL CARPORTS - FREDERICKSON</t>
  </si>
  <si>
    <t>80746, 80747</t>
  </si>
  <si>
    <t>SECURITY SYSTEM - FREDERICKSON</t>
  </si>
  <si>
    <t>81529, 80808, 84590</t>
  </si>
  <si>
    <t>LOBBY DISPLAY CASE - FREDERICKSON</t>
  </si>
  <si>
    <t>82336, 81108</t>
  </si>
  <si>
    <t>MAINT. RADIO SYSTEN - FREDERICKSON</t>
  </si>
  <si>
    <t>80706, 80705</t>
  </si>
  <si>
    <t>CABELING FOR FREDERICKSON</t>
  </si>
  <si>
    <t>LOCKERS FOR SHOP - FREDERICKSON</t>
  </si>
  <si>
    <t>LUBRICATION SYSTEM -FREDERICKSON</t>
  </si>
  <si>
    <t>OFFICE FURNITURE - FREDERICKSON</t>
  </si>
  <si>
    <t>80468, 80754, 80755, 84734</t>
  </si>
  <si>
    <t>PHONE SYSTEM - FREDERICKSON</t>
  </si>
  <si>
    <t>80467, 84732</t>
  </si>
  <si>
    <t>FORKLIFT FOR SHOP</t>
  </si>
  <si>
    <t>1/1/2011 - 6/30/2011</t>
  </si>
  <si>
    <t>FREDERICKSON LAND</t>
  </si>
  <si>
    <t>LAND</t>
  </si>
  <si>
    <t>Yard</t>
  </si>
  <si>
    <t>1991 FREIGHTLINER</t>
  </si>
  <si>
    <t>1993 IH 9400 T/A TRACTOR</t>
  </si>
  <si>
    <t>1993 IHC 9400 TRACTOR</t>
  </si>
  <si>
    <t>1998 STAR 53' TFR TRAILER</t>
  </si>
  <si>
    <t>1998  53'X100' TRANSFER TRAILER</t>
  </si>
  <si>
    <t>2000 TITAN ALUM WALKING FLOOR TRAILER</t>
  </si>
  <si>
    <t>2000 STAR 56' OPEN TOP TRAILER</t>
  </si>
  <si>
    <t>REFURBISH STAR TRAILER</t>
  </si>
  <si>
    <t>FLUP-Truck 5554</t>
  </si>
  <si>
    <t>1990 BOBCAT 843 SKID STEER LOADER</t>
  </si>
  <si>
    <t>HITACHI EX50URG MINI EXCAVATOR</t>
  </si>
  <si>
    <t>FLUP-Truck 7407</t>
  </si>
  <si>
    <t>6 Yard FEL Containers</t>
  </si>
  <si>
    <t>LAKEWOOD SCALE SYSTEM</t>
  </si>
  <si>
    <t>Goat</t>
  </si>
  <si>
    <t>'91 OTTAWA YARD GOAT</t>
  </si>
  <si>
    <t>NEW John Deere 135D RTS Excavator</t>
  </si>
  <si>
    <t>79751, 79750, 79749, 79748, 79747</t>
  </si>
  <si>
    <t>03 PETERBILT 320 W/LABRIE - FT. LEWIS OCC</t>
  </si>
  <si>
    <t>03 AUTOCAR WX64 - FT. LEWIS GARBAGE</t>
  </si>
  <si>
    <t>94 DODGE RAM PU - FT. LEWIS</t>
  </si>
  <si>
    <t>1992 VOLVO FE42 REL - FT. LEWIS RECYCLE</t>
  </si>
  <si>
    <t xml:space="preserve">65 GALLON GREY CARTS </t>
  </si>
  <si>
    <t>1 YD PLASTIC LID</t>
  </si>
  <si>
    <t>1 YD R/L CONTAINERS</t>
  </si>
  <si>
    <t>1 YD R/L W/LIDS &amp; CASTORS</t>
  </si>
  <si>
    <t>1.5 YD R/L</t>
  </si>
  <si>
    <t>25 YD SOLID LIDS</t>
  </si>
  <si>
    <t>25 YD W/ LIDS</t>
  </si>
  <si>
    <t>25 YD W/SOLID LID</t>
  </si>
  <si>
    <t>25 YD W/LID</t>
  </si>
  <si>
    <t>25 YD W/SOLID LIDS</t>
  </si>
  <si>
    <t>30 YD BOXES</t>
  </si>
  <si>
    <t>30 YD DROP BOX OPEN TOP</t>
  </si>
  <si>
    <t>30 YD &amp; 25 YARD CONTAINERS</t>
  </si>
  <si>
    <t>30 YD DROPBOX</t>
  </si>
  <si>
    <t>30 YD BATH TUB CONT.</t>
  </si>
  <si>
    <t>30 YD LOW STRUCTURAL DROPBOX</t>
  </si>
  <si>
    <t>30 YD STRUCTURE DROP BOX</t>
  </si>
  <si>
    <t>30 YD STRUCT. DROPBOX</t>
  </si>
  <si>
    <t xml:space="preserve">20 Ton Norco Jack 72230a </t>
  </si>
  <si>
    <t>SHOP EQUIPMENT - FREDERICKSON</t>
  </si>
  <si>
    <t>2007 2WD F150 SUPERVISOR TRK</t>
  </si>
  <si>
    <t>FUEL/CARDLOCK SYSTEM - FREDERICKSON</t>
  </si>
  <si>
    <t>Trk No</t>
  </si>
  <si>
    <t>4109 192ND ST E - SHOP</t>
  </si>
  <si>
    <t>BUILDING - SHOP</t>
  </si>
  <si>
    <t>BUILDING - OFFICE</t>
  </si>
  <si>
    <t>Office</t>
  </si>
  <si>
    <t>TOTAL BUILDING - SHOP</t>
  </si>
  <si>
    <t>TOTAL BUILDING - OFFICE</t>
  </si>
  <si>
    <t>Buildings - Shop</t>
  </si>
  <si>
    <t>Buildings - Office</t>
  </si>
  <si>
    <t>TOTAL TRANSFER STATION HAULING</t>
  </si>
  <si>
    <t>Transfer Station Equipment</t>
  </si>
  <si>
    <t>Fluff</t>
  </si>
  <si>
    <t>Trucks Retired/Transferred During 2011</t>
  </si>
  <si>
    <t>Welder</t>
  </si>
  <si>
    <t>04 Type M Hook HL - DELIVERY</t>
  </si>
  <si>
    <t>1990 Type S Forklift</t>
  </si>
  <si>
    <t>RETIREMENTS/TRANSFERS IN 2011</t>
  </si>
  <si>
    <t>2012 Peterbuilt 320 ASL (N)</t>
  </si>
  <si>
    <t>85917, 86147, 86148</t>
  </si>
  <si>
    <t>Routware GPS Unit Trk #3631</t>
  </si>
  <si>
    <t xml:space="preserve">HP NOTEBOOK 6460B/DOCKING STN </t>
  </si>
  <si>
    <t>PANASONIC TOUGHBOOK 53</t>
  </si>
  <si>
    <t>95 GALLON DARK BLUE NB CARTS</t>
  </si>
  <si>
    <t>95 GALLON CARTS - DARK BLUE</t>
  </si>
  <si>
    <t>81515, 81514</t>
  </si>
  <si>
    <t>Recycling</t>
  </si>
  <si>
    <t>Fork Lift</t>
  </si>
  <si>
    <t>HYSTER FORKLIFT - MCCHORD RECYCLE CTR. (U)</t>
  </si>
  <si>
    <t>1 YARD R/L CONTAINERS</t>
  </si>
  <si>
    <t>6 YARD F/L CONTAINERS</t>
  </si>
  <si>
    <t>1 YARD F/L PLASTIC CONTAINERS</t>
  </si>
  <si>
    <t>88130, 88132</t>
  </si>
  <si>
    <t>88131, 86801, 86800</t>
  </si>
  <si>
    <t>7/1/2011 - 12/31/2011</t>
  </si>
  <si>
    <t>Disposals/Transfers also updated through 12/31/2011.</t>
  </si>
  <si>
    <t>1 YD F/L CONTAINERS</t>
  </si>
  <si>
    <t>MINI ASL</t>
  </si>
  <si>
    <t>ISUZU NRR ASL (N)</t>
  </si>
  <si>
    <t>87724, 87757</t>
  </si>
  <si>
    <t>(2180 Fork Lift on 2181 #87092)</t>
  </si>
  <si>
    <t>CAPITAL REPAIR #2016</t>
  </si>
  <si>
    <t>12/31/2011 CAPEX</t>
  </si>
  <si>
    <t>FEL</t>
  </si>
  <si>
    <t>2011 Autocar w/McNeilus (U)</t>
  </si>
  <si>
    <t>Engine Rebuild #1027</t>
  </si>
  <si>
    <t>Sony Internet TV</t>
  </si>
  <si>
    <t>1/1/2012 - 3/31/2012</t>
  </si>
  <si>
    <t>(CapEx)</t>
  </si>
  <si>
    <t>Trucks Retired/Transferred During 2012</t>
  </si>
  <si>
    <t>Retirements &amp; Transfers also updated through 3/31/2012.</t>
  </si>
  <si>
    <t>Winterms, Monitors, Scanner for Shop</t>
  </si>
  <si>
    <t>HP Compaq Pro PC</t>
  </si>
  <si>
    <t>2011 Autocar ACX64 (U)</t>
  </si>
  <si>
    <t>94430, 94768, 95320</t>
  </si>
  <si>
    <t>RTA Equipment</t>
  </si>
  <si>
    <t>95092, 95093</t>
  </si>
  <si>
    <t>93826, 93827</t>
  </si>
  <si>
    <t>97271, 97272</t>
  </si>
  <si>
    <t>Tricoder</t>
  </si>
  <si>
    <t>96313, 96314</t>
  </si>
  <si>
    <t>96422, 97422</t>
  </si>
  <si>
    <t>2013 Peterbilt w/Wayne  (N)</t>
  </si>
  <si>
    <t>96423, 97423</t>
  </si>
  <si>
    <t>DriveCam for #3634</t>
  </si>
  <si>
    <t>97731, 97732, 97733, 97734, 97735, 97736</t>
  </si>
  <si>
    <t>99959, 99960, 99961, 99962</t>
  </si>
  <si>
    <t>2013 Peterbilt w/Wittke (N)</t>
  </si>
  <si>
    <t>98932, 99005</t>
  </si>
  <si>
    <t>Diesel Pressure Washers (N)</t>
  </si>
  <si>
    <t>(3) BinMaxx FEL Fork Scale Systems - JBLM</t>
  </si>
  <si>
    <t>93 FREIGHTLINER (Spare)  Still used?</t>
  </si>
  <si>
    <t>6 YARD SLANT TOP LIDS</t>
  </si>
  <si>
    <t>3 Yard Plastic Containers</t>
  </si>
  <si>
    <t>4 Yard Plastic Containers</t>
  </si>
  <si>
    <t>2 YD Slant Top - LeMay Blue</t>
  </si>
  <si>
    <t>2  YD FEL Slant Containers - LeMay Blue</t>
  </si>
  <si>
    <t>91737, 93235</t>
  </si>
  <si>
    <t>98391, 98392</t>
  </si>
  <si>
    <t>30 Yard R/O Boxes</t>
  </si>
  <si>
    <t>4/1/2012 - 12/31/2012</t>
  </si>
  <si>
    <t>HL, PS</t>
  </si>
  <si>
    <t>103581, 103582</t>
  </si>
  <si>
    <t>104085, 104086</t>
  </si>
  <si>
    <t>102965, 102966, 102967</t>
  </si>
  <si>
    <t>102680, 102681</t>
  </si>
  <si>
    <t>2008 Ford F150</t>
  </si>
  <si>
    <t>New 2013 Ford C-Max</t>
  </si>
  <si>
    <t>HP Probook 6470b (SN = CNU31295LQ) and Docking Station (SN = CNU229X2ZP)</t>
  </si>
  <si>
    <t>Repair Engine on unit 3610</t>
  </si>
  <si>
    <t>Panasonic Toughbook 53 (SN = %3FTSA83610)</t>
  </si>
  <si>
    <t>6 YD FEL Containers (JBLM)</t>
  </si>
  <si>
    <t>105073, 105074, 105075, 105076</t>
  </si>
  <si>
    <t>Trucks Retired/Transferred During 2013</t>
  </si>
  <si>
    <t>1/1/2013-6/30/2013</t>
  </si>
  <si>
    <t>PS</t>
  </si>
  <si>
    <t>asset re-added to FAR due to accidental deletion. Asset never left UTC schedule.</t>
  </si>
  <si>
    <t>Disposed/Transferred 2013</t>
  </si>
  <si>
    <t>Transmission Replacement #3571</t>
  </si>
  <si>
    <t>2014 Isuzu NPR Box Van Cont. Del (N)</t>
  </si>
  <si>
    <t>Routeware Implementation</t>
  </si>
  <si>
    <t>2010 F-150 Supervisor (U)</t>
  </si>
  <si>
    <t>2 YD FEL Containers</t>
  </si>
  <si>
    <t>106806, 106807, 107127, 107128</t>
  </si>
  <si>
    <t>1.5 YD FEL Containers</t>
  </si>
  <si>
    <t>2014 Isuzu Retriever Cont. Del (N)</t>
  </si>
  <si>
    <t>DriveCam for #2041</t>
  </si>
  <si>
    <t>Routeware - Airweigh Scales</t>
  </si>
  <si>
    <t>108617, 108618, 108969</t>
  </si>
  <si>
    <t>107872, 107873</t>
  </si>
  <si>
    <t>2014 Peterbilt/McNeilus ASL (N)</t>
  </si>
  <si>
    <t>108801, 108949</t>
  </si>
  <si>
    <t>2014 Peterbilt/McNeilus FEL (N)</t>
  </si>
  <si>
    <t>109515, 110073, 110074</t>
  </si>
  <si>
    <t>HP Compaq 6300 Desktop Computer</t>
  </si>
  <si>
    <t>Transfer Station Leachate System</t>
  </si>
  <si>
    <t>7/1/2013-12/31/2013</t>
  </si>
  <si>
    <t>HG</t>
  </si>
  <si>
    <t>TOTAL COMMERCIAL RECYCLING TRUCKS</t>
  </si>
  <si>
    <t>Recycle Containers</t>
  </si>
  <si>
    <t>TRANSFER STATION EQUIPMETN</t>
  </si>
  <si>
    <t>TOTAL TRANSFER STATION EQUIPMENT</t>
  </si>
  <si>
    <t xml:space="preserve">HP Probook 6470b </t>
  </si>
  <si>
    <t>65 GAL REFUSE CARTS</t>
  </si>
  <si>
    <t>95 GAL RECYCLE CARTS</t>
  </si>
  <si>
    <t xml:space="preserve">6 YD FEL Containers </t>
  </si>
  <si>
    <t>112458, 112459, 112460</t>
  </si>
  <si>
    <t>2 YD Containers</t>
  </si>
  <si>
    <t>Wyse Winterms D10D</t>
  </si>
  <si>
    <t>114101, 114986</t>
  </si>
  <si>
    <t>Trucks Retired/Transferred During 2014</t>
  </si>
  <si>
    <t>RETIRED</t>
  </si>
  <si>
    <t>95 GAL REFUSE CARTS</t>
  </si>
  <si>
    <t>114403, 114402</t>
  </si>
  <si>
    <t>114405, 114404</t>
  </si>
  <si>
    <t>2015 Container Delivery Truck (N)</t>
  </si>
  <si>
    <t>115032, 115100</t>
  </si>
  <si>
    <t>1.5 YD Containers</t>
  </si>
  <si>
    <t>115199, 115198</t>
  </si>
  <si>
    <t>Torque Tire Gun</t>
  </si>
  <si>
    <t>(2) Drive Cam Units</t>
  </si>
  <si>
    <t>Cap Repair- Engine</t>
  </si>
  <si>
    <t>Cap Reapir- Transmission</t>
  </si>
  <si>
    <t>2015 ASL Truck (N)</t>
  </si>
  <si>
    <t>2013 FEL Truck (U)</t>
  </si>
  <si>
    <t>116080, 116081</t>
  </si>
  <si>
    <t>Cap Repair- Engine and Labor</t>
  </si>
  <si>
    <t>96 GAL REFUSE CARTS</t>
  </si>
  <si>
    <t>96 GALLON CARTS</t>
  </si>
  <si>
    <t xml:space="preserve">Auto Tarper </t>
  </si>
  <si>
    <t>2015 RO Truck (N)</t>
  </si>
  <si>
    <t>(2) Pressure Washers</t>
  </si>
  <si>
    <t>Drive Cam</t>
  </si>
  <si>
    <t>Air Compressor</t>
  </si>
  <si>
    <t>3308, 3635</t>
  </si>
  <si>
    <t>2012 FEL Truck (U), decals and licensing</t>
  </si>
  <si>
    <t>116569, 116854, 116855</t>
  </si>
  <si>
    <t>Curbside Weighing System</t>
  </si>
  <si>
    <t>REL Scal Software</t>
  </si>
  <si>
    <t>2014 Isuzu Retriever Truck (N)</t>
  </si>
  <si>
    <t>Routeware Camera</t>
  </si>
  <si>
    <t>Routeware Cameras</t>
  </si>
  <si>
    <t>Routewate Cameras</t>
  </si>
  <si>
    <t>2011 Hyster Forklift</t>
  </si>
  <si>
    <t>1/1/2014 - 12/31/2014</t>
  </si>
  <si>
    <t>JB</t>
  </si>
  <si>
    <t xml:space="preserve">2009 Peterbilt ASL (U) </t>
  </si>
  <si>
    <t>2009 Peterbilt ASL (U) Licensing</t>
  </si>
  <si>
    <t>2011 FEL Truck (U)</t>
  </si>
  <si>
    <t>118077, 119656</t>
  </si>
  <si>
    <t>2012 F-150 SuperCrew Supervisor (U)</t>
  </si>
  <si>
    <t>Transmission Replacement #3578</t>
  </si>
  <si>
    <t>Transmission Replacement #9184</t>
  </si>
  <si>
    <t>Winterms</t>
  </si>
  <si>
    <t>HP ProDesk 600G1</t>
  </si>
  <si>
    <t>96 GALLON YW CARTS</t>
  </si>
  <si>
    <t>Engine Repair #9214</t>
  </si>
  <si>
    <t>HP Probook 650G1</t>
  </si>
  <si>
    <t>HP Probook 640G1</t>
  </si>
  <si>
    <t>45 GAL REFUSE CARTS - DUPONT</t>
  </si>
  <si>
    <t>123336, 123335, 123334, 123333</t>
  </si>
  <si>
    <t>2012 Ford F-150 Maintenance (U)</t>
  </si>
  <si>
    <t>Trucks Retired/Transferred During 2015</t>
  </si>
  <si>
    <t>Hyster H60ft Forklift (U) - Cont Repair</t>
  </si>
  <si>
    <t>Retired/Transferred 2015</t>
  </si>
  <si>
    <t>2016 R/O Truck (N)</t>
  </si>
  <si>
    <t>2016 ASL Truck (N) - EQR</t>
  </si>
  <si>
    <t>1/1/2015-6/30/2015</t>
  </si>
  <si>
    <t xml:space="preserve">00 INT'L 4900 4X2 W/20YD </t>
  </si>
  <si>
    <t>00 INT'L 4900 4X2 W/20 YD</t>
  </si>
  <si>
    <t>Comm Recycle</t>
  </si>
  <si>
    <t>06 PETE W/27 CY CURBTNDR</t>
  </si>
  <si>
    <t>Recycle - EQR</t>
  </si>
  <si>
    <t xml:space="preserve">05 AUTOCAR W/MCNEILUS </t>
  </si>
  <si>
    <t>06 PETE 320 W/40YD</t>
  </si>
  <si>
    <t>07 INT'L W/20 YD METROPAK</t>
  </si>
  <si>
    <t>Garbage - EQR</t>
  </si>
  <si>
    <t>Scrapped/Transferred per Jessie Bailey's 8/2015 Truck Audit:</t>
  </si>
  <si>
    <t>2013 Peterbilt w/Wayne  (N) - EQR</t>
  </si>
  <si>
    <t>GARBAGE TRUCKS - EQR</t>
  </si>
  <si>
    <t>TOTAL EQR GARBAGE TRUCKS</t>
  </si>
  <si>
    <t>CURBSIDE RECYCLE TRUCKS - EQR</t>
  </si>
  <si>
    <t>FT. LEWIS GARBAGE</t>
  </si>
  <si>
    <t>FT. LEWIS RECYCLING</t>
  </si>
  <si>
    <t>TOTAL FT. LEWIS GARBAGE</t>
  </si>
  <si>
    <t>TOTAL FT. LEWIS RECYCLING</t>
  </si>
  <si>
    <t>123708/123931</t>
  </si>
  <si>
    <t>122561/124224</t>
  </si>
  <si>
    <t>6 YD Containers</t>
  </si>
  <si>
    <t>124722/125423</t>
  </si>
  <si>
    <t>126470/126471</t>
  </si>
  <si>
    <t>JBLM CONTAINERS</t>
  </si>
  <si>
    <t>2 YD Plastic Containers</t>
  </si>
  <si>
    <t>3 YD Plastic Containers</t>
  </si>
  <si>
    <t>TOTAL JBLM CONTAINERS</t>
  </si>
  <si>
    <t>JBLM Containers</t>
  </si>
  <si>
    <t>2004 Bobcat 5220 Skid Steer Loader (U)</t>
  </si>
  <si>
    <t>Body Repair Trailer #8497</t>
  </si>
  <si>
    <t>Body Repair Truck #9182</t>
  </si>
  <si>
    <t>2016 Peterbilt ASL (N)</t>
  </si>
  <si>
    <t>125550/125751</t>
  </si>
  <si>
    <t>7/1/2015-10/31/2015</t>
  </si>
  <si>
    <t>2007 Type M Hook HL (U)</t>
  </si>
  <si>
    <t>Trucks Retired/Transferred During 2016</t>
  </si>
  <si>
    <t>11/1/2015-12/31/2015</t>
  </si>
  <si>
    <t>2015 Ford F550</t>
  </si>
  <si>
    <t>6 YD Plastic Commercial Containers</t>
  </si>
  <si>
    <t>2 YD Plastic Commercial Containers</t>
  </si>
  <si>
    <t>96 GAL REFUSE CARTS- GREEN</t>
  </si>
  <si>
    <t>96 GAL RECYCLE CARTS- GRAY</t>
  </si>
  <si>
    <t>HP Probook Laptop</t>
  </si>
  <si>
    <t>2016 ASL</t>
  </si>
  <si>
    <t>Truck Decals</t>
  </si>
  <si>
    <t>1/1/2016-7/31/2016</t>
  </si>
  <si>
    <t>64 GAL REFUSE CARTS</t>
  </si>
  <si>
    <t>129323/129383</t>
  </si>
  <si>
    <t>Engine Rebuild</t>
  </si>
  <si>
    <t>35 GAL REFUSE CARTS</t>
  </si>
  <si>
    <t>Mobile Radio for Peterbilt ASL</t>
  </si>
  <si>
    <t xml:space="preserve">Unit Rebuild for Trailer </t>
  </si>
  <si>
    <t>2004 Type HT D-V Trailer</t>
  </si>
  <si>
    <t>Trailer -walking floor repair</t>
  </si>
  <si>
    <t>1998 Type HT W-F Trailer</t>
  </si>
  <si>
    <t>2 yd Plastic Containers</t>
  </si>
  <si>
    <t>HP SB Probook 640 14 5CG5522MGF</t>
  </si>
  <si>
    <t>HP SB 90 W Docking Station</t>
  </si>
  <si>
    <t>95 GALLON YW CARTS</t>
  </si>
  <si>
    <t>132589/132590</t>
  </si>
  <si>
    <t>6 yd Plastic Containers</t>
  </si>
  <si>
    <t>4 yd Plastic Containers</t>
  </si>
  <si>
    <t xml:space="preserve"> 2007 Tennant Sweeper (Zamboni)</t>
  </si>
  <si>
    <t>2016 FL</t>
  </si>
  <si>
    <t>1.5 yd Containers</t>
  </si>
  <si>
    <t>3 yd Plastic Containers</t>
  </si>
  <si>
    <t>Transmission Replacement</t>
  </si>
  <si>
    <t>Retired/Transferred 2016</t>
  </si>
  <si>
    <t>Routeware Unit and Installation</t>
  </si>
  <si>
    <t>Head Rebuild</t>
  </si>
  <si>
    <t>2017 Container Delivery Truck</t>
  </si>
  <si>
    <t>Panasonic Toughbook 53 Lite</t>
  </si>
  <si>
    <t>Panasonic - DDR3L - 4GB</t>
  </si>
  <si>
    <t>40 YD DROP BOX W/LID</t>
  </si>
  <si>
    <t>6 YD FEL Plastic Containers</t>
  </si>
  <si>
    <t>1 YD REL Containers</t>
  </si>
  <si>
    <t>1.5 YD REL Containers</t>
  </si>
  <si>
    <t>4 YD FEL Plastic Containers</t>
  </si>
  <si>
    <t>08/31/16 - 12/31/16</t>
  </si>
  <si>
    <t>BJT</t>
  </si>
  <si>
    <t>HP Probook 640 G2</t>
  </si>
  <si>
    <t>2 YD FEL Plastic Containers</t>
  </si>
  <si>
    <t>6 YD Steel Containers</t>
  </si>
  <si>
    <t>2 YD REL Containers</t>
  </si>
  <si>
    <t>Garbage Carts - City of Dupont/Municipal</t>
  </si>
  <si>
    <t>60 GAL REFUSE CARTS -Eatonville</t>
  </si>
  <si>
    <t>s</t>
  </si>
  <si>
    <t>Garbage Carts - Municipal</t>
  </si>
  <si>
    <t>30 YD DROP BOX W/LID</t>
  </si>
  <si>
    <t>20 YD DROP BOX W/LID</t>
  </si>
  <si>
    <t>HP Probook 650 G2</t>
  </si>
  <si>
    <t>New Laptop for Operations Manager</t>
  </si>
  <si>
    <t>2012 Peterbuilt 320 REL (N)</t>
  </si>
  <si>
    <t>Engine Repair #5594</t>
  </si>
  <si>
    <t>ASL/ Peterbilt / Labrie 28 yd Decals</t>
  </si>
  <si>
    <t>2018 ASL Truck</t>
  </si>
  <si>
    <t>2017 ASL Truck</t>
  </si>
  <si>
    <t>2018 FEL Truck</t>
  </si>
  <si>
    <t>Radio for FEL Peterbild/ Labrie 40 yd</t>
  </si>
  <si>
    <t>Heavy Duty Tablet</t>
  </si>
  <si>
    <t>Drive Cam on New FEL Peterbilt</t>
  </si>
  <si>
    <t>Retriever</t>
  </si>
  <si>
    <t>2017 14 Yd Retriever Truck</t>
  </si>
  <si>
    <t>TT&amp;L</t>
  </si>
  <si>
    <t>2006 Type M Pick UP Car</t>
  </si>
  <si>
    <t>2013 Ford CMAX</t>
  </si>
  <si>
    <t>30 Yard Roll Off Boxes</t>
  </si>
  <si>
    <t>30 YD R/O Containers</t>
  </si>
  <si>
    <t>40 YD DROP Box</t>
  </si>
  <si>
    <t>Commercial Containers in Yard (New Prices)</t>
  </si>
  <si>
    <t>Fees for Heavy Duty Tablet</t>
  </si>
  <si>
    <t>1/1/16 - 8/31/17</t>
  </si>
  <si>
    <t>LAW</t>
  </si>
  <si>
    <t>2017 Flatbed Truck</t>
  </si>
  <si>
    <t>Truck Decals for Retriever Truck Isuzu/NPR 8yd</t>
  </si>
  <si>
    <t>2016 Box Van Izuzu/ NPR</t>
  </si>
  <si>
    <t>Trucks Retired/Transferred During 2017</t>
  </si>
  <si>
    <t>2018 RO Truck</t>
  </si>
  <si>
    <t>REL</t>
  </si>
  <si>
    <t>2018 REL Truck</t>
  </si>
  <si>
    <t>CONTAINER DELIVERY</t>
  </si>
  <si>
    <t>2017 CD Truck</t>
  </si>
  <si>
    <t>TOTAL CONTAINER DELIVERY</t>
  </si>
  <si>
    <t>188922/189844</t>
  </si>
  <si>
    <t>186155/186537</t>
  </si>
  <si>
    <t>Drive Cam for New REL Truck</t>
  </si>
  <si>
    <t>Radio for FEL Freightliner Heil 20 Yd</t>
  </si>
  <si>
    <t>187603/189264/188504/188503</t>
  </si>
  <si>
    <t>184365/186539</t>
  </si>
  <si>
    <t>185372/186538</t>
  </si>
  <si>
    <t>30 YD ROLL OFF BOXES W/ LID</t>
  </si>
  <si>
    <t>40 YD ROLL OFF BOXES W/ LID</t>
  </si>
  <si>
    <t>1 YD REL Steel Commercial Container</t>
  </si>
  <si>
    <t>95 Gals Recycle Carts</t>
  </si>
  <si>
    <t>6 YD Steel Commercial Containers</t>
  </si>
  <si>
    <t>95 GAL YARD WASTE CARTS</t>
  </si>
  <si>
    <t>95 Gal Recycle Carts</t>
  </si>
  <si>
    <t>Camera Kit for Roll Off Trk Peterbilt 567 Endless Chain</t>
  </si>
  <si>
    <t>Retired/Transferred 2017</t>
  </si>
  <si>
    <t>Moved to 2182 During 2017</t>
  </si>
  <si>
    <t>9/1/17-12/31/17</t>
  </si>
  <si>
    <t>New 2012 Peterbilt 320 Packer REL</t>
  </si>
  <si>
    <t>New 2012 Peterbilt REL w/ Packer Body</t>
  </si>
  <si>
    <t>A</t>
  </si>
  <si>
    <t>Internal</t>
  </si>
  <si>
    <t>WCNX</t>
  </si>
  <si>
    <t>SL</t>
  </si>
  <si>
    <t>Non Rolling Stock</t>
  </si>
  <si>
    <t>Road Tractor</t>
  </si>
  <si>
    <t>95 Gallon Recycle Carts</t>
  </si>
  <si>
    <t>94-3283464</t>
  </si>
  <si>
    <t>Truck Decals on ASL Pete 520 RHD/Labrie Automizer 29YD</t>
  </si>
  <si>
    <t>Truck Decals on a New ASL Pete 520 RHD/Labrie Automizer 29YD</t>
  </si>
  <si>
    <t>Decals on a New Roll Off Truck Peterbilt 567 Endless Chain</t>
  </si>
  <si>
    <t>30yd Roll Off Boxes w/Lib</t>
  </si>
  <si>
    <t>65 Gallon Green MSW Carts</t>
  </si>
  <si>
    <t>95 Gallon MSW Carts</t>
  </si>
  <si>
    <t>95gal Recycle Cart</t>
  </si>
  <si>
    <t>YW Carts 95gal</t>
  </si>
  <si>
    <t>New Service Truck/ Ford Transit Van</t>
  </si>
  <si>
    <t>Radio/Drive Cam</t>
  </si>
  <si>
    <t>Licensing Overchange refund</t>
  </si>
  <si>
    <t>65 Gallon MSW Carts</t>
  </si>
  <si>
    <t>96 Gallon YW Totes</t>
  </si>
  <si>
    <t>2019 RO Truck</t>
  </si>
  <si>
    <t>New Roll Off Truck- Decall</t>
  </si>
  <si>
    <t>New Roll Off Trk- Decal</t>
  </si>
  <si>
    <t>New Roll Off Trk- Decals</t>
  </si>
  <si>
    <t>2016 Travis Trailer</t>
  </si>
  <si>
    <t>2016 Road Tractor</t>
  </si>
  <si>
    <t>WESTERN PETERBILT INC</t>
  </si>
  <si>
    <t>2182-18-0008-1</t>
  </si>
  <si>
    <t>915-2663</t>
  </si>
  <si>
    <t>Wet Kit for Tractor</t>
  </si>
  <si>
    <t xml:space="preserve">J&amp;D's Hydraulic &amp; Repair </t>
  </si>
  <si>
    <t>2182-18-0009-1</t>
  </si>
  <si>
    <t>915-2664</t>
  </si>
  <si>
    <t>Long Haul</t>
  </si>
  <si>
    <t>Trucks Retired/Transferred During 2018</t>
  </si>
  <si>
    <t xml:space="preserve">Annual </t>
  </si>
  <si>
    <t>Depre.</t>
  </si>
  <si>
    <t>Yr&amp;Mnth</t>
  </si>
  <si>
    <t>Test Yr</t>
  </si>
  <si>
    <t>CRP</t>
  </si>
  <si>
    <t>Containers Retired/Transferred During 2018</t>
  </si>
  <si>
    <t>Retired/Transferred 2018</t>
  </si>
  <si>
    <t>Last filing 2011-09</t>
  </si>
  <si>
    <t>New Salvage Value Rules Implemented</t>
  </si>
  <si>
    <t>20 YD METRO-PAK REAR LOADER Amort of Salvage</t>
  </si>
  <si>
    <t>GREASE SYSTEM ON 1023 Amort of Salvage</t>
  </si>
  <si>
    <t>00 INT'L 4900 4X2 W/20 YD Amort of Salvage</t>
  </si>
  <si>
    <t>02 INT'L 4900 4X2 2/20YD METRO-PAK Amort of Salvage</t>
  </si>
  <si>
    <t>02 INT'L 4900 4X2 W/20 YD METROPAK Amort of Salvage</t>
  </si>
  <si>
    <t>04 Type M Hook HL - DELIVERY Amort of Salvage</t>
  </si>
  <si>
    <t>DMS3000 ROUTEWARE UNITS Amort of Salvage</t>
  </si>
  <si>
    <t>05 AUTOCAR W/LEACH BODY Amort of Salvage</t>
  </si>
  <si>
    <t>01 ISUZU NPR VAN TRUCK Amort of Salvage</t>
  </si>
  <si>
    <t>06 INT'L W/20YD METRO-PAK REAR LOADER Amort of Salvage</t>
  </si>
  <si>
    <t>06 METRO-PAK REAR LOADER Amort of Salvage</t>
  </si>
  <si>
    <t>06 PETE W/27 CY WAYNE CURBTENDER Amort of Salvage</t>
  </si>
  <si>
    <t>06 PETE 320 W/40YD Amort of Salvage</t>
  </si>
  <si>
    <t>07 INT'L W/20 YD METROPAK Amort of Salvage</t>
  </si>
  <si>
    <t>07 INT'L W/METROKPAK R/L BODY Amort of Salvage</t>
  </si>
  <si>
    <t>06 PETE W/27 CY CURBTENDER BODY Amort of Salvage</t>
  </si>
  <si>
    <t>GREASER UNIT FOR 1052 Amort of Salvage</t>
  </si>
  <si>
    <t>05 AUTOCAR W/40 YD F/L BODY Amort of Salvage</t>
  </si>
  <si>
    <t>07 INT'L W/METROPAK R/L BODY Amort of Salvage</t>
  </si>
  <si>
    <t>07 Peterbilt 320 w/27 CY Curbtender Amort of Salvage</t>
  </si>
  <si>
    <t>07 Pete w/27 cy Wayne Curbtender Amort of Salvage</t>
  </si>
  <si>
    <t>2009 Type H TSide ASL Amort of Salvage</t>
  </si>
  <si>
    <t>2009 Peterbilt 320 Body Amort of Salvage</t>
  </si>
  <si>
    <t>2010 AUTOCAR ACX ASL Amort of Salvage</t>
  </si>
  <si>
    <t>2002 Used Ryder Van Truck - Cont Delivery Amort of Salvage</t>
  </si>
  <si>
    <t>2012 Peterbuilt 320 ASL (N) Amort of Salvage</t>
  </si>
  <si>
    <t>05 VOLVO W/DROP MECHANISM Amort of Salvage</t>
  </si>
  <si>
    <t>06 VOLVO W/HELM ROLLOFF Amort of Salvage</t>
  </si>
  <si>
    <t>07 VOLVO W/HELM BOOM Amort of Salvage</t>
  </si>
  <si>
    <t>07 VOLVO W/HELM ROLL OFF Amort of Salvage</t>
  </si>
  <si>
    <t>08 Volvo W/HELM Rolloff Amort of Salvage</t>
  </si>
  <si>
    <t>08 Volvo w/HELM Drop Amort of Salvage</t>
  </si>
  <si>
    <t>2009 Type H Drop R/O Amort of Salvage</t>
  </si>
  <si>
    <t>Autogreaser for Truck 4067 Amort of Salvage</t>
  </si>
  <si>
    <t>03 PETE 320  Amort of Salvage</t>
  </si>
  <si>
    <t>05 AUTOCAR W/27CY CURBTENDER Amort of Salvage</t>
  </si>
  <si>
    <t>05 AUTOCAR W/27 CY WAYNE CURBTENDER Amort of Salvage</t>
  </si>
  <si>
    <t>05 AUTOCAR W/27 CY CURBTENDER Amort of Salvage</t>
  </si>
  <si>
    <t>06 GMC VAN TRUCK Amort of Salvage</t>
  </si>
  <si>
    <t>06 PETE W/27 CY CURBTENDER Amort of Salvage</t>
  </si>
  <si>
    <t>GREASER UNIT FOR 3583 Amort of Salvage</t>
  </si>
  <si>
    <t>06 PETE W/27 CY CURBTNDR Amort of Salvage</t>
  </si>
  <si>
    <t>03 PETERBILT 320 W/ 27 CY CURBTENDER Amort of Salvage</t>
  </si>
  <si>
    <t>05 PETE 320 W/27 YD WAYNE CURBTENDER Amort of Salvage</t>
  </si>
  <si>
    <t>05 PETE 320 W/27 CY CURBTENDER Amort of Salvage</t>
  </si>
  <si>
    <t>05 PETE 320 W/27CY WAYNE CURBTENDER Amort of Salvage</t>
  </si>
  <si>
    <t>02 INT'L 4900 4XS W/20 YD METRO-PAK Amort of Salvage</t>
  </si>
  <si>
    <t>05 AUTOCAR W/MCNEILUS Amort of Salvage</t>
  </si>
  <si>
    <t>1996 FRUEHAUF - FT. LEWIS Amort of Salvage</t>
  </si>
  <si>
    <t>HYSTER FORKLIFT - FORT LEWIS RECYCLING CTR. Amort of Salvage</t>
  </si>
  <si>
    <t>97 GMC C6500 w/Container Carrier - Ft. Lewis Amort of Salvage</t>
  </si>
  <si>
    <t>07 Autocar w/FL Packer Body Amort of Salvage</t>
  </si>
  <si>
    <t>1995 Ford Truck L8000 (Cont. Delivery Ft. Lewis) Amort of Salvage</t>
  </si>
  <si>
    <t>2012 Peterbuilt 320 REL (N) Amort of Salvage</t>
  </si>
  <si>
    <t>1997 CHINOOK CHASSIS Amort of Salvage</t>
  </si>
  <si>
    <t>DELTA TRAILER Amort of Salvage</t>
  </si>
  <si>
    <t>1999 53' 4-AXLE CONTAINER Amort of Salvage</t>
  </si>
  <si>
    <t>2000 INT'L 9100I TRACTOR Amort of Salvage</t>
  </si>
  <si>
    <t>2000 INTERNATIONAL 9100I TRACTOR Amort of Salvage</t>
  </si>
  <si>
    <t>HELM 46'-53' CONTAINER CHASSIS Amort of Salvage</t>
  </si>
  <si>
    <t>87 COMET 28' S/A VAN TRAILER Amort of Salvage</t>
  </si>
  <si>
    <t>03 HELM CHASSIS TRAILER Amort of Salvage</t>
  </si>
  <si>
    <t>03 HELM 53' CHASSIS Amort of Salvage</t>
  </si>
  <si>
    <t>04 HELM 53' CHASSIS TRAILER Amort of Salvage</t>
  </si>
  <si>
    <t>04 HELM 53' CHASSIS Amort of Salvage</t>
  </si>
  <si>
    <t>06 STERLING TRACTOR Amort of Salvage</t>
  </si>
  <si>
    <t>07 VOLVO TRACTOR Amort of Salvage</t>
  </si>
  <si>
    <t>REFURBISH STAR TRAILER Amort of Salvage</t>
  </si>
  <si>
    <t>Lift Axle for 5617 Amort of Salvage</t>
  </si>
  <si>
    <t>07 Volvo Tractor Amort of Salvage</t>
  </si>
  <si>
    <t>2004 Type HT D-V Trailer Amort of Salvage</t>
  </si>
  <si>
    <t>Depre</t>
  </si>
  <si>
    <t xml:space="preserve">Test Yr. </t>
  </si>
  <si>
    <t xml:space="preserve">Depre. </t>
  </si>
  <si>
    <t>00 CHEV 3500 SHOP TRUCK Amort of Salvage</t>
  </si>
  <si>
    <t>05 GMC Shop Service Veh. Amort of Salvage</t>
  </si>
  <si>
    <t>1990 Type S Forklift Amort of Salvage</t>
  </si>
  <si>
    <t>05 DODGE DAKOTA Amort of Salvage</t>
  </si>
  <si>
    <t>2007 2WD F150 SUPERVISOR TRK Amort of Salvage</t>
  </si>
  <si>
    <t>2007 F-150 SUPERVISOR TRUCK Amort of Salvage</t>
  </si>
  <si>
    <t>12/31/17-7/31/18</t>
  </si>
  <si>
    <t>Transferred to 2450 on 4/20/18</t>
  </si>
  <si>
    <t>Disposed</t>
  </si>
  <si>
    <t>belongs to disposed truck above</t>
  </si>
  <si>
    <t>Rate Effective Year</t>
  </si>
  <si>
    <t>7/31/18-12/31/18</t>
  </si>
  <si>
    <t>Inframe Overhaul on Trk #1065</t>
  </si>
  <si>
    <t>Decal for New Service Truck / Ford Transit Van</t>
  </si>
  <si>
    <t>2019 ASL Truck</t>
  </si>
  <si>
    <t>Decals for Truck</t>
  </si>
  <si>
    <t>Lettering on the new ASL Peterbilt</t>
  </si>
  <si>
    <t>96 Gal YW Totes</t>
  </si>
  <si>
    <t>20yd Rolloff Boxes</t>
  </si>
  <si>
    <t>6yd Containers</t>
  </si>
  <si>
    <t>30yd Rolloff Boxes</t>
  </si>
  <si>
    <t>2yd Container</t>
  </si>
  <si>
    <t>6yd FEL Green Commercial Containers</t>
  </si>
  <si>
    <t>Lettering on New ASL Peterbilt</t>
  </si>
  <si>
    <t>20 Yard Rolloff Box warranty/repaint</t>
  </si>
  <si>
    <t>20 YD Roll off box</t>
  </si>
  <si>
    <t>Lettering for the New ASL Peterbilt</t>
  </si>
  <si>
    <t>Lettering for New ASL Peterbilt</t>
  </si>
  <si>
    <t>4 yd FEL Plastic Containers</t>
  </si>
  <si>
    <t>30Yd Rolloff Boxes</t>
  </si>
  <si>
    <t>96 Gallon Recycle Carts</t>
  </si>
  <si>
    <t>2019 FEL Truck</t>
  </si>
  <si>
    <t>Lettering on New FEL Peterbilt</t>
  </si>
  <si>
    <t>6yd FEL Commercial Containers</t>
  </si>
  <si>
    <t>40yd Rolloff Boxes</t>
  </si>
  <si>
    <t>5 replacement tablets</t>
  </si>
  <si>
    <t>HP Probook 640G4</t>
  </si>
  <si>
    <t>40 Yard Rolloff Boxes</t>
  </si>
  <si>
    <t>20 Yard Rolloff Boxes</t>
  </si>
  <si>
    <t>10 Yard Rolloff Boxes</t>
  </si>
  <si>
    <t>96 Gallon MSW Carts</t>
  </si>
  <si>
    <t>64 Gallon MSW Carts</t>
  </si>
  <si>
    <t>6 Yard FEL  Commercial Containers</t>
  </si>
  <si>
    <t>6 Yard FEL Commercial Containers</t>
  </si>
  <si>
    <t>2 Yard REL Commercial Containers</t>
  </si>
  <si>
    <t>1 Yard REL Commercial Containers</t>
  </si>
  <si>
    <t>2 Yard REL  Commercial Containers</t>
  </si>
  <si>
    <t>30Yard Rolloff Boxes</t>
  </si>
  <si>
    <t>30 Yard Rolloff Boxes</t>
  </si>
  <si>
    <t>4 Yard FEL Commercial Containers</t>
  </si>
  <si>
    <t>Drive Cam for Tractor</t>
  </si>
  <si>
    <t>Laptop for LTS MM</t>
  </si>
  <si>
    <t>New Walking Floor Trailer</t>
  </si>
  <si>
    <t>20 YD Rolloff Boxes</t>
  </si>
  <si>
    <t>30 YD Rolloff Boxes</t>
  </si>
  <si>
    <t>20 YD Rolloff Boxes- Glass</t>
  </si>
  <si>
    <t>20 yd Rolloff Box</t>
  </si>
  <si>
    <t>30yd Rolloff Box</t>
  </si>
  <si>
    <t>Used Shop Truck / F-150</t>
  </si>
  <si>
    <t>2016 Tractor</t>
  </si>
  <si>
    <t>Wet Kit for Used Tractor/ Peterbilt</t>
  </si>
  <si>
    <t>Wet Kit for Used Tractor/ Peterbilt 378</t>
  </si>
  <si>
    <t>2019 Trailer</t>
  </si>
  <si>
    <t>Effective Rate Month</t>
  </si>
  <si>
    <t>Second Year</t>
  </si>
  <si>
    <t>First Year</t>
  </si>
  <si>
    <t>64 Gallon Recycle Totes</t>
  </si>
  <si>
    <t>95 Gal Recy Carts</t>
  </si>
  <si>
    <t>96 Gallon YW</t>
  </si>
  <si>
    <t>216382/ 217052</t>
  </si>
  <si>
    <t>96 Gallon Gray MSW Carts</t>
  </si>
  <si>
    <t>96 Gallon Green MSW Carts</t>
  </si>
  <si>
    <t>64 Gallon Green MSW Carts</t>
  </si>
  <si>
    <t>211014/ 211013</t>
  </si>
  <si>
    <t>96 Gallon MSW Totes</t>
  </si>
  <si>
    <t>20yd ROL Boxes</t>
  </si>
  <si>
    <t>30yd ROL Boxes</t>
  </si>
  <si>
    <t>40yd ROL Boxes</t>
  </si>
  <si>
    <t>1.5 Yd REL Commercial Containers</t>
  </si>
  <si>
    <t>2 Yd REL Commercial Containers</t>
  </si>
  <si>
    <t>2 Yd FEL Commercial Containers</t>
  </si>
  <si>
    <t>3 Yd FEL Commercial Containers</t>
  </si>
  <si>
    <t>4 Yd FEL Commercial Containers</t>
  </si>
  <si>
    <t>6 Yd FEL Commercial Containers</t>
  </si>
  <si>
    <t>2019 Peterbilt Tractor</t>
  </si>
  <si>
    <t>West Kit for Tractor</t>
  </si>
  <si>
    <t>New Laptop for DC</t>
  </si>
  <si>
    <t>Shop Lighting Project</t>
  </si>
  <si>
    <t>210086/ 211431</t>
  </si>
  <si>
    <t>Laptop for District Manager</t>
  </si>
  <si>
    <t>40 Yd Rolloff Boxes</t>
  </si>
  <si>
    <t>1/1/2019-8/31/2019</t>
  </si>
  <si>
    <t>2019 FEL Peterbilt/ Labrie 40yd</t>
  </si>
  <si>
    <t>2001 JLG 120 SXJ Man Lift</t>
  </si>
  <si>
    <t>Related to Lakewood shop per DC</t>
  </si>
  <si>
    <t>2182 Engine rebuild of tractor</t>
  </si>
  <si>
    <t>Trucks Retired/Transferred During 2019</t>
  </si>
  <si>
    <t>New Camera System</t>
  </si>
  <si>
    <t>219049, 219637, 219755</t>
  </si>
  <si>
    <t>35 Gallon MSW Carts</t>
  </si>
  <si>
    <t>96 Gallon Recycle Totes</t>
  </si>
  <si>
    <t>1 Yd REL Commercial Containers</t>
  </si>
  <si>
    <t>222642/222646</t>
  </si>
  <si>
    <t>222643/222648</t>
  </si>
  <si>
    <t>222644/222649</t>
  </si>
  <si>
    <t>222650/222645</t>
  </si>
  <si>
    <t>218213/220523</t>
  </si>
  <si>
    <t>2019 Peterbilt ASL</t>
  </si>
  <si>
    <t>219754/220407/221750</t>
  </si>
  <si>
    <t>2020 Peterbilt ASL</t>
  </si>
  <si>
    <t>2020 Peterbilt REL</t>
  </si>
  <si>
    <t>TRANSFER STATION EQUIPMENT</t>
  </si>
  <si>
    <t>2020 RO Truck</t>
  </si>
  <si>
    <t>218236/220526/221855</t>
  </si>
  <si>
    <t>Pierce County Refuse</t>
  </si>
  <si>
    <t>Depreciation &amp; Average Investment Summary</t>
  </si>
  <si>
    <t>Truck Listing</t>
  </si>
  <si>
    <t>Cart/Container/Drop Box Listing</t>
  </si>
  <si>
    <t>Other Assets Listing</t>
  </si>
  <si>
    <t>Resi Recycle</t>
  </si>
  <si>
    <t>TOTAL HOUSING CONTRACT GARBAGE</t>
  </si>
  <si>
    <t>JBLM CONTRACT AND HOUSING GARBAGE SHARED</t>
  </si>
  <si>
    <t>JBLM HOUSING GARBAGE EXCLUSIVE USE</t>
  </si>
  <si>
    <t xml:space="preserve">ROLL OFF </t>
  </si>
  <si>
    <t>CURBSIDE RECYCLE - JBLM HOUSING</t>
  </si>
  <si>
    <t>YARD WASTE</t>
  </si>
  <si>
    <t>COMMERCIAL RECYCLING</t>
  </si>
  <si>
    <t>JBLM CONTRACT GARBAGE</t>
  </si>
  <si>
    <t>JBLM CONTRACT RECYCLING</t>
  </si>
  <si>
    <t>SF/MF/COMM RECYCLE CARTS</t>
  </si>
  <si>
    <t>Retired/Removed Containers:</t>
  </si>
  <si>
    <t>Removed 1 Yard</t>
  </si>
  <si>
    <t>Removed 1.5 Yard</t>
  </si>
  <si>
    <t>Removed 2Yard</t>
  </si>
  <si>
    <t>Removed 3 Yard</t>
  </si>
  <si>
    <t>Removed 4 yards</t>
  </si>
  <si>
    <t>Removed 6 Yard</t>
  </si>
  <si>
    <t>Removed 8 Yard</t>
  </si>
  <si>
    <t>4 yd REL Steel Container</t>
  </si>
  <si>
    <t>1.5 yd REL Steel Containers</t>
  </si>
  <si>
    <t>1 yd REL Steel Containers</t>
  </si>
  <si>
    <t>2 yd REL Steel Containers</t>
  </si>
  <si>
    <t>2 yd FEL Plastic Containers</t>
  </si>
  <si>
    <t>3 yd FEL Plastic Containers</t>
  </si>
  <si>
    <t>Removed 20 yard boxes</t>
  </si>
  <si>
    <t>Removed 25 yard boxes</t>
  </si>
  <si>
    <t>Removed 30 yard boxes</t>
  </si>
  <si>
    <t>Removed 35 Gal Carts</t>
  </si>
  <si>
    <t>Removed 40 yard containers</t>
  </si>
  <si>
    <t>Removed 48 Gal Roll Carts</t>
  </si>
  <si>
    <t>Removed 65 Gallon carts</t>
  </si>
  <si>
    <t>Removed 95 Gal Garbage Carts</t>
  </si>
  <si>
    <t>Removed 95 Gal YD Carts</t>
  </si>
  <si>
    <t>Remove 6 gallon apartment and nestable bins</t>
  </si>
  <si>
    <t>Removed 95 Gal Recycle Carts</t>
  </si>
  <si>
    <t>Total Removed 95 Gallon Carts</t>
  </si>
  <si>
    <t>Removed 65 Gallon Recycle carts</t>
  </si>
  <si>
    <t>Removed 65 Gallon YD Carts</t>
  </si>
  <si>
    <t>Removed 65 Gallon Carts</t>
  </si>
  <si>
    <t>RESI/COMM GARBAGE</t>
  </si>
  <si>
    <t>CURBSIDE RECYCLE</t>
  </si>
  <si>
    <t>Amortization</t>
  </si>
  <si>
    <t>Proforma assets</t>
  </si>
  <si>
    <t>Moves</t>
  </si>
  <si>
    <t>MOVE TO 2182</t>
  </si>
  <si>
    <t>New ASL Peterbilt / Labrie 28yd</t>
  </si>
  <si>
    <t>New FEL Peterbilt / Labrie 40yd</t>
  </si>
  <si>
    <t>New REL Peterbilt / Mcneilus 25yd</t>
  </si>
  <si>
    <t xml:space="preserve">New Roll Off Truck Peterbilt 567 Endless Chain </t>
  </si>
  <si>
    <t>Q1 2020</t>
  </si>
  <si>
    <t>Q3 2020</t>
  </si>
  <si>
    <t>Amortization of Salvage - Retired Assets</t>
  </si>
  <si>
    <t>Retired Salvage 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</si>
</sst>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_-* #,##0.00_-;\-* #,##0.00_-;_-* &quot;-&quot;??_-;_-@_-"/>
    <numFmt numFmtId="166" formatCode="_([$€-2]* #,##0.00_);_([$€-2]* \(#,##0.00\);_([$€-2]* &quot;-&quot;??_)"/>
    <numFmt numFmtId="167" formatCode="_(* #,##0_);_(* \(#,##0\);_(* &quot;-&quot;??_);_(@_)"/>
    <numFmt numFmtId="168" formatCode="0.0"/>
  </numFmts>
  <fonts count="8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Helv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1"/>
      <color indexed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7.5"/>
      <color indexed="12"/>
      <name val="Arial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b/>
      <sz val="11"/>
      <color indexed="51"/>
      <name val="Calibri"/>
      <family val="2"/>
    </font>
    <font>
      <sz val="12"/>
      <name val="CG Omega"/>
    </font>
    <font>
      <sz val="10"/>
      <name val="MS Sans Serif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sz val="11"/>
      <color indexed="61"/>
      <name val="Calibri"/>
      <family val="2"/>
    </font>
    <font>
      <sz val="10"/>
      <color indexed="12"/>
      <name val="Arial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sz val="12"/>
      <name val="Arial"/>
      <family val="2"/>
    </font>
    <font>
      <sz val="12"/>
      <color indexed="8"/>
      <name val="Calibri"/>
      <family val="2"/>
    </font>
    <font>
      <b/>
      <sz val="12"/>
      <color indexed="12"/>
      <name val="Times New Roman"/>
      <family val="1"/>
    </font>
    <font>
      <b/>
      <sz val="10"/>
      <color indexed="10"/>
      <name val="Arial"/>
      <family val="2"/>
    </font>
    <font>
      <b/>
      <sz val="11"/>
      <color indexed="18"/>
      <name val="Britannic Bold"/>
      <family val="2"/>
    </font>
    <font>
      <sz val="11"/>
      <name val="Bookman Old Style"/>
      <family val="1"/>
    </font>
    <font>
      <u/>
      <sz val="10"/>
      <name val="Arial"/>
      <family val="2"/>
    </font>
    <font>
      <u/>
      <sz val="11"/>
      <color indexed="12"/>
      <name val="Arial"/>
      <family val="2"/>
    </font>
    <font>
      <b/>
      <sz val="14"/>
      <name val="Helv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</font>
    <font>
      <u/>
      <sz val="8.8000000000000007"/>
      <color theme="10"/>
      <name val="Calibri"/>
      <family val="2"/>
    </font>
    <font>
      <u/>
      <sz val="9.35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entury Gothic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FF"/>
      <name val="Calibri"/>
      <family val="2"/>
      <scheme val="minor"/>
    </font>
  </fonts>
  <fills count="7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48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solid">
        <fgColor indexed="42"/>
        <b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6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263">
    <xf numFmtId="0" fontId="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1" fillId="3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56" fillId="37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56" fillId="38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1" fillId="5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1" fillId="10" borderId="0" applyNumberFormat="0" applyBorder="0" applyAlignment="0" applyProtection="0"/>
    <xf numFmtId="0" fontId="56" fillId="40" borderId="0" applyNumberFormat="0" applyBorder="0" applyAlignment="0" applyProtection="0"/>
    <xf numFmtId="0" fontId="1" fillId="11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1" fillId="11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1" fillId="11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1" fillId="3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1" fillId="7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1" fillId="7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1" fillId="7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56" fillId="44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1" fillId="12" borderId="0" applyNumberFormat="0" applyBorder="0" applyAlignment="0" applyProtection="0"/>
    <xf numFmtId="0" fontId="56" fillId="4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1" fillId="10" borderId="0" applyNumberFormat="0" applyBorder="0" applyAlignment="0" applyProtection="0"/>
    <xf numFmtId="0" fontId="56" fillId="45" borderId="0" applyNumberFormat="0" applyBorder="0" applyAlignment="0" applyProtection="0"/>
    <xf numFmtId="0" fontId="56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1" fillId="14" borderId="0" applyNumberFormat="0" applyBorder="0" applyAlignment="0" applyProtection="0"/>
    <xf numFmtId="0" fontId="56" fillId="47" borderId="0" applyNumberFormat="0" applyBorder="0" applyAlignment="0" applyProtection="0"/>
    <xf numFmtId="0" fontId="57" fillId="48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57" fillId="49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57" fillId="50" borderId="0" applyNumberFormat="0" applyBorder="0" applyAlignment="0" applyProtection="0"/>
    <xf numFmtId="0" fontId="9" fillId="14" borderId="0" applyNumberFormat="0" applyBorder="0" applyAlignment="0" applyProtection="0"/>
    <xf numFmtId="0" fontId="57" fillId="50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9" borderId="0" applyNumberFormat="0" applyBorder="0" applyAlignment="0" applyProtection="0"/>
    <xf numFmtId="0" fontId="9" fillId="6" borderId="0" applyNumberFormat="0" applyBorder="0" applyAlignment="0" applyProtection="0"/>
    <xf numFmtId="0" fontId="9" fillId="19" borderId="0" applyNumberFormat="0" applyBorder="0" applyAlignment="0" applyProtection="0"/>
    <xf numFmtId="0" fontId="9" fillId="6" borderId="0" applyNumberFormat="0" applyBorder="0" applyAlignment="0" applyProtection="0"/>
    <xf numFmtId="0" fontId="57" fillId="51" borderId="0" applyNumberFormat="0" applyBorder="0" applyAlignment="0" applyProtection="0"/>
    <xf numFmtId="0" fontId="9" fillId="6" borderId="0" applyNumberFormat="0" applyBorder="0" applyAlignment="0" applyProtection="0"/>
    <xf numFmtId="0" fontId="57" fillId="51" borderId="0" applyNumberFormat="0" applyBorder="0" applyAlignment="0" applyProtection="0"/>
    <xf numFmtId="0" fontId="57" fillId="52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57" fillId="52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0" borderId="0" applyNumberFormat="0" applyBorder="0" applyAlignment="0" applyProtection="0"/>
    <xf numFmtId="0" fontId="57" fillId="53" borderId="0" applyNumberFormat="0" applyBorder="0" applyAlignment="0" applyProtection="0"/>
    <xf numFmtId="0" fontId="57" fillId="54" borderId="0" applyNumberFormat="0" applyBorder="0" applyAlignment="0" applyProtection="0"/>
    <xf numFmtId="0" fontId="9" fillId="2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57" fillId="54" borderId="0" applyNumberFormat="0" applyBorder="0" applyAlignment="0" applyProtection="0"/>
    <xf numFmtId="0" fontId="57" fillId="55" borderId="0" applyNumberFormat="0" applyBorder="0" applyAlignment="0" applyProtection="0"/>
    <xf numFmtId="0" fontId="9" fillId="18" borderId="0" applyNumberFormat="0" applyBorder="0" applyAlignment="0" applyProtection="0"/>
    <xf numFmtId="0" fontId="9" fillId="23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3" borderId="0" applyNumberFormat="0" applyBorder="0" applyAlignment="0" applyProtection="0"/>
    <xf numFmtId="0" fontId="57" fillId="55" borderId="0" applyNumberFormat="0" applyBorder="0" applyAlignment="0" applyProtection="0"/>
    <xf numFmtId="0" fontId="57" fillId="56" borderId="0" applyNumberFormat="0" applyBorder="0" applyAlignment="0" applyProtection="0"/>
    <xf numFmtId="0" fontId="9" fillId="14" borderId="0" applyNumberFormat="0" applyBorder="0" applyAlignment="0" applyProtection="0"/>
    <xf numFmtId="0" fontId="9" fillId="24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4" borderId="0" applyNumberFormat="0" applyBorder="0" applyAlignment="0" applyProtection="0"/>
    <xf numFmtId="0" fontId="57" fillId="56" borderId="0" applyNumberFormat="0" applyBorder="0" applyAlignment="0" applyProtection="0"/>
    <xf numFmtId="0" fontId="57" fillId="57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19" borderId="0" applyNumberFormat="0" applyBorder="0" applyAlignment="0" applyProtection="0"/>
    <xf numFmtId="0" fontId="57" fillId="57" borderId="0" applyNumberFormat="0" applyBorder="0" applyAlignment="0" applyProtection="0"/>
    <xf numFmtId="0" fontId="57" fillId="58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57" fillId="58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57" fillId="58" borderId="0" applyNumberFormat="0" applyBorder="0" applyAlignment="0" applyProtection="0"/>
    <xf numFmtId="0" fontId="57" fillId="59" borderId="0" applyNumberFormat="0" applyBorder="0" applyAlignment="0" applyProtection="0"/>
    <xf numFmtId="0" fontId="9" fillId="23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18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8" borderId="0" applyNumberFormat="0" applyBorder="0" applyAlignment="0" applyProtection="0"/>
    <xf numFmtId="0" fontId="57" fillId="59" borderId="0" applyNumberFormat="0" applyBorder="0" applyAlignment="0" applyProtection="0"/>
    <xf numFmtId="41" fontId="16" fillId="0" borderId="0"/>
    <xf numFmtId="41" fontId="16" fillId="0" borderId="0"/>
    <xf numFmtId="41" fontId="16" fillId="0" borderId="0"/>
    <xf numFmtId="41" fontId="16" fillId="0" borderId="0"/>
    <xf numFmtId="41" fontId="16" fillId="0" borderId="0"/>
    <xf numFmtId="41" fontId="16" fillId="0" borderId="0"/>
    <xf numFmtId="41" fontId="16" fillId="0" borderId="0"/>
    <xf numFmtId="49" fontId="50" fillId="0" borderId="0" applyFill="0" applyBorder="0" applyAlignment="0" applyProtection="0"/>
    <xf numFmtId="0" fontId="49" fillId="0" borderId="1" applyBorder="0">
      <alignment horizontal="center" vertical="center" wrapText="1"/>
    </xf>
    <xf numFmtId="0" fontId="49" fillId="0" borderId="1" applyBorder="0">
      <alignment horizontal="center" vertical="center" wrapText="1"/>
    </xf>
    <xf numFmtId="0" fontId="49" fillId="0" borderId="1" applyBorder="0">
      <alignment horizontal="center" vertical="center" wrapText="1"/>
    </xf>
    <xf numFmtId="0" fontId="49" fillId="0" borderId="1" applyBorder="0">
      <alignment horizontal="center" vertical="center" wrapText="1"/>
    </xf>
    <xf numFmtId="0" fontId="49" fillId="0" borderId="1" applyBorder="0">
      <alignment horizontal="center" vertical="center" wrapText="1"/>
    </xf>
    <xf numFmtId="0" fontId="58" fillId="60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58" fillId="60" borderId="0" applyNumberFormat="0" applyBorder="0" applyAlignment="0" applyProtection="0"/>
    <xf numFmtId="3" fontId="16" fillId="0" borderId="0"/>
    <xf numFmtId="3" fontId="16" fillId="0" borderId="0"/>
    <xf numFmtId="3" fontId="16" fillId="0" borderId="0"/>
    <xf numFmtId="3" fontId="16" fillId="0" borderId="0"/>
    <xf numFmtId="0" fontId="59" fillId="61" borderId="20" applyNumberFormat="0" applyAlignment="0" applyProtection="0"/>
    <xf numFmtId="0" fontId="15" fillId="26" borderId="2" applyNumberFormat="0" applyAlignment="0" applyProtection="0"/>
    <xf numFmtId="0" fontId="25" fillId="26" borderId="2" applyNumberFormat="0" applyAlignment="0" applyProtection="0"/>
    <xf numFmtId="0" fontId="25" fillId="26" borderId="2" applyNumberFormat="0" applyAlignment="0" applyProtection="0"/>
    <xf numFmtId="0" fontId="25" fillId="26" borderId="2" applyNumberFormat="0" applyAlignment="0" applyProtection="0"/>
    <xf numFmtId="0" fontId="25" fillId="26" borderId="2" applyNumberFormat="0" applyAlignment="0" applyProtection="0"/>
    <xf numFmtId="0" fontId="25" fillId="26" borderId="2" applyNumberFormat="0" applyAlignment="0" applyProtection="0"/>
    <xf numFmtId="0" fontId="25" fillId="26" borderId="2" applyNumberFormat="0" applyAlignment="0" applyProtection="0"/>
    <xf numFmtId="0" fontId="25" fillId="26" borderId="2" applyNumberFormat="0" applyAlignment="0" applyProtection="0"/>
    <xf numFmtId="0" fontId="25" fillId="26" borderId="2" applyNumberFormat="0" applyAlignment="0" applyProtection="0"/>
    <xf numFmtId="0" fontId="25" fillId="26" borderId="2" applyNumberFormat="0" applyAlignment="0" applyProtection="0"/>
    <xf numFmtId="0" fontId="25" fillId="26" borderId="2" applyNumberFormat="0" applyAlignment="0" applyProtection="0"/>
    <xf numFmtId="0" fontId="25" fillId="26" borderId="2" applyNumberFormat="0" applyAlignment="0" applyProtection="0"/>
    <xf numFmtId="0" fontId="33" fillId="26" borderId="2" applyNumberFormat="0" applyAlignment="0" applyProtection="0"/>
    <xf numFmtId="0" fontId="33" fillId="26" borderId="2" applyNumberFormat="0" applyAlignment="0" applyProtection="0"/>
    <xf numFmtId="0" fontId="33" fillId="26" borderId="2" applyNumberFormat="0" applyAlignment="0" applyProtection="0"/>
    <xf numFmtId="0" fontId="33" fillId="26" borderId="2" applyNumberFormat="0" applyAlignment="0" applyProtection="0"/>
    <xf numFmtId="0" fontId="33" fillId="26" borderId="2" applyNumberFormat="0" applyAlignment="0" applyProtection="0"/>
    <xf numFmtId="0" fontId="33" fillId="26" borderId="2" applyNumberFormat="0" applyAlignment="0" applyProtection="0"/>
    <xf numFmtId="0" fontId="33" fillId="26" borderId="2" applyNumberFormat="0" applyAlignment="0" applyProtection="0"/>
    <xf numFmtId="0" fontId="25" fillId="26" borderId="2" applyNumberFormat="0" applyAlignment="0" applyProtection="0"/>
    <xf numFmtId="0" fontId="15" fillId="26" borderId="2" applyNumberFormat="0" applyAlignment="0" applyProtection="0"/>
    <xf numFmtId="0" fontId="15" fillId="26" borderId="2" applyNumberFormat="0" applyAlignment="0" applyProtection="0"/>
    <xf numFmtId="0" fontId="15" fillId="26" borderId="2" applyNumberFormat="0" applyAlignment="0" applyProtection="0"/>
    <xf numFmtId="0" fontId="15" fillId="26" borderId="2" applyNumberFormat="0" applyAlignment="0" applyProtection="0"/>
    <xf numFmtId="0" fontId="15" fillId="26" borderId="2" applyNumberFormat="0" applyAlignment="0" applyProtection="0"/>
    <xf numFmtId="0" fontId="15" fillId="26" borderId="2" applyNumberFormat="0" applyAlignment="0" applyProtection="0"/>
    <xf numFmtId="0" fontId="15" fillId="26" borderId="2" applyNumberFormat="0" applyAlignment="0" applyProtection="0"/>
    <xf numFmtId="0" fontId="25" fillId="26" borderId="2" applyNumberFormat="0" applyAlignment="0" applyProtection="0"/>
    <xf numFmtId="0" fontId="25" fillId="26" borderId="2" applyNumberFormat="0" applyAlignment="0" applyProtection="0"/>
    <xf numFmtId="0" fontId="25" fillId="26" borderId="2" applyNumberFormat="0" applyAlignment="0" applyProtection="0"/>
    <xf numFmtId="0" fontId="25" fillId="26" borderId="2" applyNumberFormat="0" applyAlignment="0" applyProtection="0"/>
    <xf numFmtId="0" fontId="25" fillId="26" borderId="2" applyNumberFormat="0" applyAlignment="0" applyProtection="0"/>
    <xf numFmtId="0" fontId="25" fillId="26" borderId="2" applyNumberFormat="0" applyAlignment="0" applyProtection="0"/>
    <xf numFmtId="0" fontId="15" fillId="26" borderId="2" applyNumberFormat="0" applyAlignment="0" applyProtection="0"/>
    <xf numFmtId="0" fontId="25" fillId="4" borderId="2" applyNumberFormat="0" applyAlignment="0" applyProtection="0"/>
    <xf numFmtId="0" fontId="25" fillId="4" borderId="2" applyNumberFormat="0" applyAlignment="0" applyProtection="0"/>
    <xf numFmtId="0" fontId="25" fillId="4" borderId="2" applyNumberFormat="0" applyAlignment="0" applyProtection="0"/>
    <xf numFmtId="0" fontId="25" fillId="4" borderId="2" applyNumberFormat="0" applyAlignment="0" applyProtection="0"/>
    <xf numFmtId="0" fontId="25" fillId="4" borderId="2" applyNumberFormat="0" applyAlignment="0" applyProtection="0"/>
    <xf numFmtId="0" fontId="25" fillId="4" borderId="2" applyNumberFormat="0" applyAlignment="0" applyProtection="0"/>
    <xf numFmtId="0" fontId="25" fillId="4" borderId="2" applyNumberFormat="0" applyAlignment="0" applyProtection="0"/>
    <xf numFmtId="0" fontId="25" fillId="4" borderId="2" applyNumberFormat="0" applyAlignment="0" applyProtection="0"/>
    <xf numFmtId="0" fontId="25" fillId="4" borderId="2" applyNumberFormat="0" applyAlignment="0" applyProtection="0"/>
    <xf numFmtId="0" fontId="25" fillId="4" borderId="2" applyNumberFormat="0" applyAlignment="0" applyProtection="0"/>
    <xf numFmtId="0" fontId="25" fillId="4" borderId="2" applyNumberFormat="0" applyAlignment="0" applyProtection="0"/>
    <xf numFmtId="0" fontId="15" fillId="26" borderId="2" applyNumberFormat="0" applyAlignment="0" applyProtection="0"/>
    <xf numFmtId="0" fontId="15" fillId="26" borderId="2" applyNumberFormat="0" applyAlignment="0" applyProtection="0"/>
    <xf numFmtId="0" fontId="15" fillId="26" borderId="2" applyNumberFormat="0" applyAlignment="0" applyProtection="0"/>
    <xf numFmtId="0" fontId="15" fillId="26" borderId="2" applyNumberFormat="0" applyAlignment="0" applyProtection="0"/>
    <xf numFmtId="0" fontId="15" fillId="26" borderId="2" applyNumberFormat="0" applyAlignment="0" applyProtection="0"/>
    <xf numFmtId="0" fontId="15" fillId="26" borderId="2" applyNumberFormat="0" applyAlignment="0" applyProtection="0"/>
    <xf numFmtId="0" fontId="15" fillId="26" borderId="2" applyNumberFormat="0" applyAlignment="0" applyProtection="0"/>
    <xf numFmtId="0" fontId="25" fillId="4" borderId="2" applyNumberFormat="0" applyAlignment="0" applyProtection="0"/>
    <xf numFmtId="0" fontId="25" fillId="4" borderId="2" applyNumberFormat="0" applyAlignment="0" applyProtection="0"/>
    <xf numFmtId="0" fontId="25" fillId="4" borderId="2" applyNumberFormat="0" applyAlignment="0" applyProtection="0"/>
    <xf numFmtId="0" fontId="25" fillId="4" borderId="2" applyNumberFormat="0" applyAlignment="0" applyProtection="0"/>
    <xf numFmtId="0" fontId="25" fillId="4" borderId="2" applyNumberFormat="0" applyAlignment="0" applyProtection="0"/>
    <xf numFmtId="0" fontId="25" fillId="4" borderId="2" applyNumberFormat="0" applyAlignment="0" applyProtection="0"/>
    <xf numFmtId="0" fontId="25" fillId="4" borderId="2" applyNumberFormat="0" applyAlignment="0" applyProtection="0"/>
    <xf numFmtId="0" fontId="25" fillId="4" borderId="2" applyNumberFormat="0" applyAlignment="0" applyProtection="0"/>
    <xf numFmtId="0" fontId="25" fillId="4" borderId="2" applyNumberFormat="0" applyAlignment="0" applyProtection="0"/>
    <xf numFmtId="0" fontId="25" fillId="4" borderId="2" applyNumberFormat="0" applyAlignment="0" applyProtection="0"/>
    <xf numFmtId="0" fontId="15" fillId="26" borderId="2" applyNumberFormat="0" applyAlignment="0" applyProtection="0"/>
    <xf numFmtId="0" fontId="59" fillId="61" borderId="20" applyNumberFormat="0" applyAlignment="0" applyProtection="0"/>
    <xf numFmtId="0" fontId="15" fillId="26" borderId="2" applyNumberFormat="0" applyAlignment="0" applyProtection="0"/>
    <xf numFmtId="0" fontId="15" fillId="26" borderId="2" applyNumberFormat="0" applyAlignment="0" applyProtection="0"/>
    <xf numFmtId="0" fontId="15" fillId="26" borderId="2" applyNumberFormat="0" applyAlignment="0" applyProtection="0"/>
    <xf numFmtId="0" fontId="15" fillId="26" borderId="2" applyNumberFormat="0" applyAlignment="0" applyProtection="0"/>
    <xf numFmtId="0" fontId="15" fillId="26" borderId="2" applyNumberFormat="0" applyAlignment="0" applyProtection="0"/>
    <xf numFmtId="0" fontId="15" fillId="26" borderId="2" applyNumberFormat="0" applyAlignment="0" applyProtection="0"/>
    <xf numFmtId="0" fontId="60" fillId="62" borderId="21" applyNumberFormat="0" applyAlignment="0" applyProtection="0"/>
    <xf numFmtId="0" fontId="11" fillId="27" borderId="3" applyNumberFormat="0" applyAlignment="0" applyProtection="0"/>
    <xf numFmtId="0" fontId="11" fillId="28" borderId="4" applyNumberFormat="0" applyAlignment="0" applyProtection="0"/>
    <xf numFmtId="0" fontId="11" fillId="28" borderId="4" applyNumberFormat="0" applyAlignment="0" applyProtection="0"/>
    <xf numFmtId="0" fontId="11" fillId="27" borderId="3" applyNumberFormat="0" applyAlignment="0" applyProtection="0"/>
    <xf numFmtId="0" fontId="11" fillId="28" borderId="4" applyNumberFormat="0" applyAlignment="0" applyProtection="0"/>
    <xf numFmtId="0" fontId="11" fillId="27" borderId="3" applyNumberFormat="0" applyAlignment="0" applyProtection="0"/>
    <xf numFmtId="0" fontId="60" fillId="62" borderId="21" applyNumberFormat="0" applyAlignment="0" applyProtection="0"/>
    <xf numFmtId="0" fontId="51" fillId="29" borderId="0" applyNumberFormat="0" applyBorder="0" applyAlignment="0" applyProtection="0">
      <alignment horizontal="center"/>
      <protection hidden="1"/>
    </xf>
    <xf numFmtId="0" fontId="16" fillId="30" borderId="0">
      <alignment horizontal="center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7" fillId="0" borderId="0" applyFont="0" applyFill="0" applyBorder="0" applyAlignment="0" applyProtection="0">
      <alignment vertical="top"/>
    </xf>
    <xf numFmtId="43" fontId="17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8" fillId="31" borderId="0">
      <alignment horizontal="left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" fontId="17" fillId="0" borderId="0"/>
    <xf numFmtId="3" fontId="35" fillId="0" borderId="0" applyFont="0" applyFill="0" applyBorder="0" applyAlignment="0" applyProtection="0"/>
    <xf numFmtId="0" fontId="36" fillId="0" borderId="0"/>
    <xf numFmtId="0" fontId="36" fillId="0" borderId="0"/>
    <xf numFmtId="0" fontId="37" fillId="32" borderId="5" applyAlignment="0">
      <alignment horizontal="right"/>
      <protection locked="0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>
      <alignment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6"/>
    <xf numFmtId="0" fontId="2" fillId="0" borderId="6"/>
    <xf numFmtId="0" fontId="2" fillId="0" borderId="6"/>
    <xf numFmtId="0" fontId="2" fillId="0" borderId="6"/>
    <xf numFmtId="0" fontId="2" fillId="0" borderId="6"/>
    <xf numFmtId="0" fontId="38" fillId="33" borderId="0">
      <alignment horizontal="right"/>
      <protection locked="0"/>
    </xf>
    <xf numFmtId="14" fontId="16" fillId="0" borderId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6" fillId="0" borderId="0"/>
    <xf numFmtId="2" fontId="38" fillId="33" borderId="0">
      <alignment horizontal="right"/>
      <protection locked="0"/>
    </xf>
    <xf numFmtId="1" fontId="16" fillId="0" borderId="0">
      <alignment horizontal="center"/>
    </xf>
    <xf numFmtId="0" fontId="62" fillId="63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62" fillId="6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63" fillId="0" borderId="22" applyNumberFormat="0" applyFill="0" applyAlignment="0" applyProtection="0"/>
    <xf numFmtId="0" fontId="20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9" fillId="0" borderId="10" applyNumberFormat="0" applyFill="0" applyAlignment="0" applyProtection="0"/>
    <xf numFmtId="0" fontId="20" fillId="0" borderId="9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6" fillId="0" borderId="7" applyNumberFormat="0" applyFill="0" applyAlignment="0" applyProtection="0"/>
    <xf numFmtId="0" fontId="20" fillId="0" borderId="8" applyNumberFormat="0" applyFill="0" applyAlignment="0" applyProtection="0"/>
    <xf numFmtId="0" fontId="26" fillId="0" borderId="7" applyNumberFormat="0" applyFill="0" applyAlignment="0" applyProtection="0"/>
    <xf numFmtId="0" fontId="20" fillId="0" borderId="8" applyNumberFormat="0" applyFill="0" applyAlignment="0" applyProtection="0"/>
    <xf numFmtId="0" fontId="63" fillId="0" borderId="22" applyNumberFormat="0" applyFill="0" applyAlignment="0" applyProtection="0"/>
    <xf numFmtId="0" fontId="64" fillId="0" borderId="23" applyNumberFormat="0" applyFill="0" applyAlignment="0" applyProtection="0"/>
    <xf numFmtId="0" fontId="21" fillId="0" borderId="12" applyNumberFormat="0" applyFill="0" applyAlignment="0" applyProtection="0"/>
    <xf numFmtId="0" fontId="21" fillId="0" borderId="11" applyNumberFormat="0" applyFill="0" applyAlignment="0" applyProtection="0"/>
    <xf numFmtId="0" fontId="40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7" fillId="0" borderId="11" applyNumberFormat="0" applyFill="0" applyAlignment="0" applyProtection="0"/>
    <xf numFmtId="0" fontId="21" fillId="0" borderId="12" applyNumberFormat="0" applyFill="0" applyAlignment="0" applyProtection="0"/>
    <xf numFmtId="0" fontId="27" fillId="0" borderId="11" applyNumberFormat="0" applyFill="0" applyAlignment="0" applyProtection="0"/>
    <xf numFmtId="0" fontId="21" fillId="0" borderId="12" applyNumberFormat="0" applyFill="0" applyAlignment="0" applyProtection="0"/>
    <xf numFmtId="0" fontId="64" fillId="0" borderId="23" applyNumberFormat="0" applyFill="0" applyAlignment="0" applyProtection="0"/>
    <xf numFmtId="0" fontId="65" fillId="0" borderId="24" applyNumberFormat="0" applyFill="0" applyAlignment="0" applyProtection="0"/>
    <xf numFmtId="0" fontId="22" fillId="0" borderId="14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41" fillId="0" borderId="16" applyNumberFormat="0" applyFill="0" applyAlignment="0" applyProtection="0"/>
    <xf numFmtId="0" fontId="22" fillId="0" borderId="15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8" fillId="0" borderId="13" applyNumberFormat="0" applyFill="0" applyAlignment="0" applyProtection="0"/>
    <xf numFmtId="0" fontId="22" fillId="0" borderId="14" applyNumberFormat="0" applyFill="0" applyAlignment="0" applyProtection="0"/>
    <xf numFmtId="0" fontId="28" fillId="0" borderId="13" applyNumberFormat="0" applyFill="0" applyAlignment="0" applyProtection="0"/>
    <xf numFmtId="0" fontId="22" fillId="0" borderId="14" applyNumberFormat="0" applyFill="0" applyAlignment="0" applyProtection="0"/>
    <xf numFmtId="0" fontId="65" fillId="0" borderId="24" applyNumberFormat="0" applyFill="0" applyAlignment="0" applyProtection="0"/>
    <xf numFmtId="0" fontId="6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71" fillId="64" borderId="20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43" fillId="13" borderId="2" applyNumberFormat="0" applyAlignment="0" applyProtection="0"/>
    <xf numFmtId="0" fontId="43" fillId="13" borderId="2" applyNumberFormat="0" applyAlignment="0" applyProtection="0"/>
    <xf numFmtId="0" fontId="43" fillId="13" borderId="2" applyNumberFormat="0" applyAlignment="0" applyProtection="0"/>
    <xf numFmtId="0" fontId="43" fillId="13" borderId="2" applyNumberFormat="0" applyAlignment="0" applyProtection="0"/>
    <xf numFmtId="0" fontId="43" fillId="13" borderId="2" applyNumberFormat="0" applyAlignment="0" applyProtection="0"/>
    <xf numFmtId="0" fontId="43" fillId="13" borderId="2" applyNumberFormat="0" applyAlignment="0" applyProtection="0"/>
    <xf numFmtId="0" fontId="43" fillId="13" borderId="2" applyNumberFormat="0" applyAlignment="0" applyProtection="0"/>
    <xf numFmtId="0" fontId="43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43" fillId="13" borderId="2" applyNumberFormat="0" applyAlignment="0" applyProtection="0"/>
    <xf numFmtId="0" fontId="43" fillId="13" borderId="2" applyNumberFormat="0" applyAlignment="0" applyProtection="0"/>
    <xf numFmtId="0" fontId="43" fillId="13" borderId="2" applyNumberFormat="0" applyAlignment="0" applyProtection="0"/>
    <xf numFmtId="0" fontId="43" fillId="13" borderId="2" applyNumberFormat="0" applyAlignment="0" applyProtection="0"/>
    <xf numFmtId="0" fontId="43" fillId="13" borderId="2" applyNumberFormat="0" applyAlignment="0" applyProtection="0"/>
    <xf numFmtId="0" fontId="43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5" borderId="2" applyNumberFormat="0" applyAlignment="0" applyProtection="0"/>
    <xf numFmtId="0" fontId="14" fillId="5" borderId="2" applyNumberFormat="0" applyAlignment="0" applyProtection="0"/>
    <xf numFmtId="0" fontId="14" fillId="5" borderId="2" applyNumberFormat="0" applyAlignment="0" applyProtection="0"/>
    <xf numFmtId="0" fontId="14" fillId="5" borderId="2" applyNumberFormat="0" applyAlignment="0" applyProtection="0"/>
    <xf numFmtId="0" fontId="14" fillId="5" borderId="2" applyNumberFormat="0" applyAlignment="0" applyProtection="0"/>
    <xf numFmtId="0" fontId="14" fillId="5" borderId="2" applyNumberFormat="0" applyAlignment="0" applyProtection="0"/>
    <xf numFmtId="0" fontId="14" fillId="5" borderId="2" applyNumberFormat="0" applyAlignment="0" applyProtection="0"/>
    <xf numFmtId="0" fontId="14" fillId="5" borderId="2" applyNumberFormat="0" applyAlignment="0" applyProtection="0"/>
    <xf numFmtId="0" fontId="14" fillId="5" borderId="2" applyNumberFormat="0" applyAlignment="0" applyProtection="0"/>
    <xf numFmtId="0" fontId="14" fillId="5" borderId="2" applyNumberFormat="0" applyAlignment="0" applyProtection="0"/>
    <xf numFmtId="0" fontId="71" fillId="64" borderId="20" applyNumberFormat="0" applyAlignment="0" applyProtection="0"/>
    <xf numFmtId="3" fontId="44" fillId="34" borderId="0">
      <protection locked="0"/>
    </xf>
    <xf numFmtId="4" fontId="44" fillId="34" borderId="0">
      <protection locked="0"/>
    </xf>
    <xf numFmtId="0" fontId="49" fillId="0" borderId="1" applyBorder="0">
      <alignment horizontal="center" vertical="center" wrapText="1"/>
    </xf>
    <xf numFmtId="0" fontId="55" fillId="35" borderId="6"/>
    <xf numFmtId="0" fontId="55" fillId="35" borderId="6"/>
    <xf numFmtId="0" fontId="55" fillId="35" borderId="6"/>
    <xf numFmtId="0" fontId="55" fillId="35" borderId="6"/>
    <xf numFmtId="0" fontId="55" fillId="35" borderId="6"/>
    <xf numFmtId="0" fontId="49" fillId="0" borderId="1" applyBorder="0">
      <alignment horizontal="center" vertical="center" wrapText="1"/>
    </xf>
    <xf numFmtId="0" fontId="49" fillId="0" borderId="1" applyBorder="0">
      <alignment horizontal="center" vertical="center" wrapText="1"/>
    </xf>
    <xf numFmtId="0" fontId="49" fillId="0" borderId="1" applyBorder="0">
      <alignment horizontal="center" vertical="center" wrapText="1"/>
    </xf>
    <xf numFmtId="0" fontId="49" fillId="0" borderId="1" applyBorder="0">
      <alignment horizontal="center" vertical="center" wrapText="1"/>
    </xf>
    <xf numFmtId="0" fontId="49" fillId="0" borderId="1" applyBorder="0">
      <alignment horizontal="center" vertical="center" wrapText="1"/>
    </xf>
    <xf numFmtId="0" fontId="49" fillId="0" borderId="1" applyBorder="0">
      <alignment horizontal="center" vertical="center" wrapText="1"/>
    </xf>
    <xf numFmtId="0" fontId="49" fillId="0" borderId="1" applyBorder="0">
      <alignment horizontal="center" vertical="center" wrapText="1"/>
    </xf>
    <xf numFmtId="0" fontId="72" fillId="0" borderId="25" applyNumberFormat="0" applyFill="0" applyAlignment="0" applyProtection="0"/>
    <xf numFmtId="0" fontId="6" fillId="0" borderId="18" applyNumberFormat="0" applyFill="0" applyAlignment="0" applyProtection="0"/>
    <xf numFmtId="0" fontId="30" fillId="0" borderId="17" applyNumberFormat="0" applyFill="0" applyAlignment="0" applyProtection="0"/>
    <xf numFmtId="0" fontId="45" fillId="0" borderId="19" applyNumberFormat="0" applyFill="0" applyAlignment="0" applyProtection="0"/>
    <xf numFmtId="0" fontId="30" fillId="0" borderId="17" applyNumberFormat="0" applyFill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30" fillId="0" borderId="17" applyNumberFormat="0" applyFill="0" applyAlignment="0" applyProtection="0"/>
    <xf numFmtId="0" fontId="72" fillId="0" borderId="25" applyNumberFormat="0" applyFill="0" applyAlignment="0" applyProtection="0"/>
    <xf numFmtId="0" fontId="73" fillId="65" borderId="0" applyNumberFormat="0" applyBorder="0" applyAlignment="0" applyProtection="0"/>
    <xf numFmtId="0" fontId="24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46" fillId="13" borderId="0" applyNumberFormat="0" applyBorder="0" applyAlignment="0" applyProtection="0"/>
    <xf numFmtId="0" fontId="31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31" fillId="13" borderId="0" applyNumberFormat="0" applyBorder="0" applyAlignment="0" applyProtection="0"/>
    <xf numFmtId="0" fontId="73" fillId="65" borderId="0" applyNumberFormat="0" applyBorder="0" applyAlignment="0" applyProtection="0"/>
    <xf numFmtId="43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56" fillId="0" borderId="0"/>
    <xf numFmtId="0" fontId="56" fillId="0" borderId="0"/>
    <xf numFmtId="0" fontId="1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" fillId="0" borderId="0"/>
    <xf numFmtId="0" fontId="1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6" fillId="0" borderId="0"/>
    <xf numFmtId="0" fontId="16" fillId="0" borderId="0">
      <alignment wrapText="1"/>
    </xf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6" fillId="0" borderId="0">
      <alignment wrapText="1"/>
    </xf>
    <xf numFmtId="0" fontId="56" fillId="0" borderId="0"/>
    <xf numFmtId="0" fontId="56" fillId="0" borderId="0"/>
    <xf numFmtId="0" fontId="56" fillId="0" borderId="0"/>
    <xf numFmtId="0" fontId="56" fillId="0" borderId="0"/>
    <xf numFmtId="0" fontId="16" fillId="0" borderId="0">
      <alignment wrapText="1"/>
    </xf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6" fillId="0" borderId="0"/>
    <xf numFmtId="0" fontId="56" fillId="0" borderId="0"/>
    <xf numFmtId="0" fontId="56" fillId="0" borderId="0"/>
    <xf numFmtId="0" fontId="17" fillId="0" borderId="0">
      <alignment vertical="top"/>
    </xf>
    <xf numFmtId="0" fontId="56" fillId="0" borderId="0"/>
    <xf numFmtId="0" fontId="56" fillId="0" borderId="0"/>
    <xf numFmtId="0" fontId="16" fillId="0" borderId="0"/>
    <xf numFmtId="0" fontId="16" fillId="0" borderId="0"/>
    <xf numFmtId="0" fontId="56" fillId="0" borderId="0"/>
    <xf numFmtId="0" fontId="56" fillId="0" borderId="0"/>
    <xf numFmtId="0" fontId="16" fillId="0" borderId="0"/>
    <xf numFmtId="0" fontId="16" fillId="0" borderId="0"/>
    <xf numFmtId="0" fontId="56" fillId="0" borderId="0"/>
    <xf numFmtId="0" fontId="56" fillId="0" borderId="0"/>
    <xf numFmtId="0" fontId="16" fillId="0" borderId="0"/>
    <xf numFmtId="0" fontId="56" fillId="0" borderId="0"/>
    <xf numFmtId="0" fontId="56" fillId="0" borderId="0"/>
    <xf numFmtId="0" fontId="16" fillId="0" borderId="0"/>
    <xf numFmtId="0" fontId="56" fillId="0" borderId="0"/>
    <xf numFmtId="0" fontId="56" fillId="0" borderId="0"/>
    <xf numFmtId="0" fontId="16" fillId="0" borderId="0"/>
    <xf numFmtId="0" fontId="56" fillId="0" borderId="0"/>
    <xf numFmtId="0" fontId="56" fillId="0" borderId="0"/>
    <xf numFmtId="0" fontId="16" fillId="0" borderId="0"/>
    <xf numFmtId="0" fontId="56" fillId="0" borderId="0"/>
    <xf numFmtId="0" fontId="56" fillId="0" borderId="0"/>
    <xf numFmtId="0" fontId="16" fillId="0" borderId="0"/>
    <xf numFmtId="0" fontId="16" fillId="0" borderId="0"/>
    <xf numFmtId="0" fontId="56" fillId="0" borderId="0"/>
    <xf numFmtId="0" fontId="56" fillId="0" borderId="0"/>
    <xf numFmtId="0" fontId="16" fillId="0" borderId="0"/>
    <xf numFmtId="0" fontId="56" fillId="0" borderId="0"/>
    <xf numFmtId="0" fontId="56" fillId="0" borderId="0"/>
    <xf numFmtId="0" fontId="16" fillId="0" borderId="0"/>
    <xf numFmtId="0" fontId="16" fillId="0" borderId="0"/>
    <xf numFmtId="0" fontId="74" fillId="0" borderId="0"/>
    <xf numFmtId="0" fontId="56" fillId="0" borderId="0"/>
    <xf numFmtId="0" fontId="56" fillId="0" borderId="0"/>
    <xf numFmtId="0" fontId="74" fillId="0" borderId="0"/>
    <xf numFmtId="0" fontId="1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" fillId="0" borderId="0"/>
    <xf numFmtId="0" fontId="1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43" fontId="56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/>
    <xf numFmtId="0" fontId="0" fillId="0" borderId="0" xfId="0"/>
    <xf numFmtId="0" fontId="75" fillId="0" borderId="0" xfId="0" applyFont="1"/>
    <xf numFmtId="0" fontId="76" fillId="0" borderId="0" xfId="0" applyFont="1"/>
    <xf numFmtId="167" fontId="0" fillId="0" borderId="0" xfId="15262" applyNumberFormat="1" applyFont="1"/>
    <xf numFmtId="0" fontId="75" fillId="0" borderId="0" xfId="0" applyFont="1" applyAlignment="1">
      <alignment horizontal="center"/>
    </xf>
    <xf numFmtId="14" fontId="75" fillId="0" borderId="0" xfId="0" applyNumberFormat="1" applyFont="1" applyAlignment="1">
      <alignment horizontal="left"/>
    </xf>
    <xf numFmtId="0" fontId="75" fillId="0" borderId="26" xfId="0" applyFont="1" applyBorder="1"/>
    <xf numFmtId="167" fontId="75" fillId="0" borderId="26" xfId="15262" applyNumberFormat="1" applyFont="1" applyBorder="1"/>
    <xf numFmtId="0" fontId="75" fillId="0" borderId="27" xfId="0" applyFont="1" applyBorder="1"/>
    <xf numFmtId="167" fontId="75" fillId="0" borderId="27" xfId="15262" applyNumberFormat="1" applyFont="1" applyBorder="1"/>
    <xf numFmtId="0" fontId="0" fillId="66" borderId="0" xfId="0" applyFill="1"/>
    <xf numFmtId="0" fontId="0" fillId="0" borderId="0" xfId="0"/>
    <xf numFmtId="1" fontId="0" fillId="0" borderId="0" xfId="0" applyNumberFormat="1"/>
    <xf numFmtId="1" fontId="0" fillId="0" borderId="0" xfId="15262" applyNumberFormat="1" applyFont="1"/>
    <xf numFmtId="0" fontId="0" fillId="67" borderId="0" xfId="0" applyFill="1"/>
    <xf numFmtId="0" fontId="0" fillId="0" borderId="0" xfId="0" applyFill="1"/>
    <xf numFmtId="0" fontId="0" fillId="0" borderId="0" xfId="0"/>
    <xf numFmtId="167" fontId="0" fillId="0" borderId="28" xfId="15262" applyNumberFormat="1" applyFont="1" applyBorder="1"/>
    <xf numFmtId="0" fontId="0" fillId="0" borderId="29" xfId="0" applyBorder="1"/>
    <xf numFmtId="0" fontId="0" fillId="0" borderId="30" xfId="0" applyBorder="1"/>
    <xf numFmtId="0" fontId="0" fillId="0" borderId="28" xfId="0" applyBorder="1"/>
    <xf numFmtId="0" fontId="0" fillId="0" borderId="0" xfId="0"/>
    <xf numFmtId="0" fontId="77" fillId="68" borderId="0" xfId="0" applyFont="1" applyFill="1"/>
    <xf numFmtId="167" fontId="77" fillId="68" borderId="0" xfId="15262" applyNumberFormat="1" applyFont="1" applyFill="1"/>
    <xf numFmtId="0" fontId="0" fillId="68" borderId="0" xfId="0" applyFill="1"/>
    <xf numFmtId="168" fontId="0" fillId="0" borderId="0" xfId="0" applyNumberFormat="1"/>
    <xf numFmtId="168" fontId="77" fillId="68" borderId="0" xfId="0" applyNumberFormat="1" applyFont="1" applyFill="1"/>
    <xf numFmtId="1" fontId="77" fillId="68" borderId="0" xfId="0" applyNumberFormat="1" applyFont="1" applyFill="1"/>
    <xf numFmtId="167" fontId="0" fillId="0" borderId="0" xfId="0" applyNumberFormat="1"/>
    <xf numFmtId="167" fontId="75" fillId="0" borderId="0" xfId="15262" applyNumberFormat="1" applyFont="1" applyBorder="1"/>
    <xf numFmtId="168" fontId="75" fillId="0" borderId="0" xfId="15262" applyNumberFormat="1" applyFont="1" applyBorder="1" applyAlignment="1">
      <alignment horizontal="right"/>
    </xf>
    <xf numFmtId="0" fontId="75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 wrapText="1"/>
    </xf>
    <xf numFmtId="14" fontId="0" fillId="0" borderId="0" xfId="15262" applyNumberFormat="1" applyFont="1"/>
    <xf numFmtId="0" fontId="75" fillId="0" borderId="0" xfId="0" applyFont="1" applyAlignment="1">
      <alignment horizontal="right"/>
    </xf>
    <xf numFmtId="167" fontId="75" fillId="0" borderId="0" xfId="15262" applyNumberFormat="1" applyFont="1"/>
    <xf numFmtId="14" fontId="0" fillId="0" borderId="0" xfId="0" applyNumberFormat="1"/>
    <xf numFmtId="0" fontId="0" fillId="69" borderId="0" xfId="0" applyFill="1"/>
    <xf numFmtId="168" fontId="0" fillId="69" borderId="0" xfId="0" applyNumberFormat="1" applyFill="1"/>
    <xf numFmtId="167" fontId="0" fillId="69" borderId="0" xfId="15262" applyNumberFormat="1" applyFont="1" applyFill="1"/>
    <xf numFmtId="168" fontId="0" fillId="0" borderId="0" xfId="0" applyNumberFormat="1" applyFill="1"/>
    <xf numFmtId="167" fontId="0" fillId="0" borderId="0" xfId="15262" applyNumberFormat="1" applyFont="1" applyFill="1"/>
    <xf numFmtId="1" fontId="0" fillId="69" borderId="0" xfId="0" applyNumberFormat="1" applyFill="1"/>
    <xf numFmtId="0" fontId="0" fillId="0" borderId="0" xfId="0" applyAlignment="1">
      <alignment horizontal="center" vertical="center"/>
    </xf>
    <xf numFmtId="168" fontId="75" fillId="0" borderId="0" xfId="15262" applyNumberFormat="1" applyFont="1" applyBorder="1" applyAlignment="1">
      <alignment horizontal="center" vertical="center"/>
    </xf>
    <xf numFmtId="0" fontId="0" fillId="0" borderId="0" xfId="0" applyFont="1"/>
    <xf numFmtId="168" fontId="0" fillId="0" borderId="0" xfId="0" applyNumberFormat="1" applyFont="1"/>
    <xf numFmtId="0" fontId="78" fillId="0" borderId="0" xfId="0" applyFont="1"/>
    <xf numFmtId="0" fontId="75" fillId="0" borderId="0" xfId="0" applyFont="1" applyAlignment="1">
      <alignment horizontal="left"/>
    </xf>
    <xf numFmtId="43" fontId="0" fillId="0" borderId="0" xfId="15262" applyNumberFormat="1" applyFont="1"/>
    <xf numFmtId="0" fontId="80" fillId="0" borderId="0" xfId="0" applyFont="1"/>
    <xf numFmtId="0" fontId="0" fillId="70" borderId="0" xfId="0" applyFill="1"/>
    <xf numFmtId="1" fontId="0" fillId="70" borderId="0" xfId="0" applyNumberFormat="1" applyFill="1"/>
    <xf numFmtId="168" fontId="0" fillId="70" borderId="0" xfId="0" applyNumberFormat="1" applyFill="1"/>
    <xf numFmtId="167" fontId="0" fillId="70" borderId="0" xfId="15262" applyNumberFormat="1" applyFont="1" applyFill="1"/>
    <xf numFmtId="43" fontId="0" fillId="70" borderId="0" xfId="15262" applyNumberFormat="1" applyFont="1" applyFill="1"/>
    <xf numFmtId="0" fontId="77" fillId="0" borderId="0" xfId="0" applyFont="1" applyFill="1"/>
    <xf numFmtId="1" fontId="77" fillId="0" borderId="0" xfId="0" applyNumberFormat="1" applyFont="1" applyFill="1"/>
    <xf numFmtId="168" fontId="77" fillId="0" borderId="0" xfId="0" applyNumberFormat="1" applyFont="1" applyFill="1"/>
    <xf numFmtId="167" fontId="77" fillId="0" borderId="0" xfId="15262" applyNumberFormat="1" applyFont="1" applyFill="1"/>
    <xf numFmtId="167" fontId="79" fillId="0" borderId="0" xfId="15262" applyNumberFormat="1" applyFont="1" applyAlignment="1">
      <alignment horizontal="right"/>
    </xf>
    <xf numFmtId="0" fontId="0" fillId="0" borderId="0" xfId="0"/>
    <xf numFmtId="14" fontId="75" fillId="0" borderId="0" xfId="0" applyNumberFormat="1" applyFont="1" applyAlignment="1">
      <alignment horizontal="left"/>
    </xf>
    <xf numFmtId="14" fontId="75" fillId="0" borderId="0" xfId="0" applyNumberFormat="1" applyFont="1" applyAlignment="1">
      <alignment horizontal="center"/>
    </xf>
    <xf numFmtId="0" fontId="75" fillId="0" borderId="0" xfId="0" applyFont="1" applyBorder="1" applyAlignment="1">
      <alignment horizontal="center" vertical="center"/>
    </xf>
    <xf numFmtId="168" fontId="75" fillId="0" borderId="0" xfId="0" applyNumberFormat="1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5" fillId="0" borderId="5" xfId="0" applyFont="1" applyBorder="1" applyAlignment="1">
      <alignment horizontal="center" vertical="center"/>
    </xf>
    <xf numFmtId="168" fontId="75" fillId="0" borderId="5" xfId="0" applyNumberFormat="1" applyFont="1" applyBorder="1" applyAlignment="1">
      <alignment horizontal="center" vertical="center"/>
    </xf>
    <xf numFmtId="14" fontId="75" fillId="0" borderId="5" xfId="0" applyNumberFormat="1" applyFont="1" applyBorder="1" applyAlignment="1">
      <alignment horizontal="center" vertical="center"/>
    </xf>
    <xf numFmtId="1" fontId="75" fillId="0" borderId="0" xfId="0" applyNumberFormat="1" applyFont="1" applyBorder="1" applyAlignment="1">
      <alignment horizontal="center" vertical="center"/>
    </xf>
    <xf numFmtId="167" fontId="75" fillId="0" borderId="0" xfId="15262" applyNumberFormat="1" applyFont="1" applyBorder="1" applyAlignment="1">
      <alignment horizontal="center" vertical="center"/>
    </xf>
    <xf numFmtId="0" fontId="75" fillId="0" borderId="0" xfId="0" applyFont="1" applyBorder="1"/>
    <xf numFmtId="1" fontId="75" fillId="0" borderId="0" xfId="0" applyNumberFormat="1" applyFont="1" applyBorder="1"/>
    <xf numFmtId="0" fontId="75" fillId="0" borderId="0" xfId="0" applyFont="1" applyBorder="1" applyAlignment="1">
      <alignment horizontal="center" vertical="center" wrapText="1"/>
    </xf>
    <xf numFmtId="168" fontId="75" fillId="0" borderId="0" xfId="0" applyNumberFormat="1" applyFont="1" applyBorder="1" applyAlignment="1">
      <alignment horizontal="center" vertical="center" wrapText="1"/>
    </xf>
    <xf numFmtId="167" fontId="75" fillId="0" borderId="0" xfId="15262" applyNumberFormat="1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0" fontId="75" fillId="0" borderId="5" xfId="0" applyFont="1" applyBorder="1" applyAlignment="1">
      <alignment horizontal="center" vertical="center" wrapText="1"/>
    </xf>
    <xf numFmtId="168" fontId="75" fillId="0" borderId="5" xfId="0" applyNumberFormat="1" applyFont="1" applyBorder="1" applyAlignment="1">
      <alignment horizontal="center" vertical="center" wrapText="1"/>
    </xf>
    <xf numFmtId="167" fontId="75" fillId="0" borderId="5" xfId="15262" applyNumberFormat="1" applyFont="1" applyBorder="1" applyAlignment="1">
      <alignment horizontal="center" vertical="center" wrapText="1"/>
    </xf>
    <xf numFmtId="14" fontId="75" fillId="0" borderId="5" xfId="15262" applyNumberFormat="1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/>
    </xf>
    <xf numFmtId="0" fontId="75" fillId="0" borderId="5" xfId="0" applyFont="1" applyBorder="1" applyAlignment="1">
      <alignment horizontal="center"/>
    </xf>
    <xf numFmtId="14" fontId="75" fillId="0" borderId="5" xfId="0" applyNumberFormat="1" applyFont="1" applyBorder="1" applyAlignment="1">
      <alignment horizontal="center"/>
    </xf>
    <xf numFmtId="0" fontId="76" fillId="0" borderId="5" xfId="0" applyFont="1" applyBorder="1" applyAlignment="1">
      <alignment horizontal="center" vertical="center"/>
    </xf>
    <xf numFmtId="1" fontId="76" fillId="0" borderId="5" xfId="0" applyNumberFormat="1" applyFont="1" applyBorder="1" applyAlignment="1">
      <alignment horizontal="center" vertical="center"/>
    </xf>
    <xf numFmtId="167" fontId="76" fillId="0" borderId="5" xfId="15262" applyNumberFormat="1" applyFont="1" applyBorder="1" applyAlignment="1">
      <alignment horizontal="center" vertical="center"/>
    </xf>
    <xf numFmtId="14" fontId="76" fillId="0" borderId="5" xfId="15262" applyNumberFormat="1" applyFont="1" applyBorder="1" applyAlignment="1">
      <alignment horizontal="center" vertical="center"/>
    </xf>
  </cellXfs>
  <cellStyles count="15263">
    <cellStyle name="20% - Accent1 2" xfId="1"/>
    <cellStyle name="20% - Accent1 2 2" xfId="2"/>
    <cellStyle name="20% - Accent1 2 2 2" xfId="3"/>
    <cellStyle name="20% - Accent1 2 3" xfId="4"/>
    <cellStyle name="20% - Accent1 2 4" xfId="5"/>
    <cellStyle name="20% - Accent1 2 4 2" xfId="6"/>
    <cellStyle name="20% - Accent1 2 5" xfId="7"/>
    <cellStyle name="20% - Accent1 3" xfId="8"/>
    <cellStyle name="20% - Accent1 3 2" xfId="9"/>
    <cellStyle name="20% - Accent1 3 2 2" xfId="10"/>
    <cellStyle name="20% - Accent1 3 3" xfId="11"/>
    <cellStyle name="20% - Accent1 3 4" xfId="12"/>
    <cellStyle name="20% - Accent1 4" xfId="13"/>
    <cellStyle name="20% - Accent1 4 2" xfId="14"/>
    <cellStyle name="20% - Accent1 4 2 2" xfId="15"/>
    <cellStyle name="20% - Accent1 4 3" xfId="16"/>
    <cellStyle name="20% - Accent1 4 4" xfId="17"/>
    <cellStyle name="20% - Accent1 4 5" xfId="18"/>
    <cellStyle name="20% - Accent1 5" xfId="19"/>
    <cellStyle name="20% - Accent1 5 2" xfId="20"/>
    <cellStyle name="20% - Accent1 6" xfId="21"/>
    <cellStyle name="20% - Accent2 2" xfId="22"/>
    <cellStyle name="20% - Accent2 2 2" xfId="23"/>
    <cellStyle name="20% - Accent2 2 3" xfId="24"/>
    <cellStyle name="20% - Accent2 3" xfId="25"/>
    <cellStyle name="20% - Accent2 3 2" xfId="26"/>
    <cellStyle name="20% - Accent2 3 3" xfId="27"/>
    <cellStyle name="20% - Accent2 4" xfId="28"/>
    <cellStyle name="20% - Accent2 4 2" xfId="29"/>
    <cellStyle name="20% - Accent2 4 2 2" xfId="30"/>
    <cellStyle name="20% - Accent2 4 3" xfId="31"/>
    <cellStyle name="20% - Accent2 5" xfId="32"/>
    <cellStyle name="20% - Accent2 5 2" xfId="33"/>
    <cellStyle name="20% - Accent2 6" xfId="34"/>
    <cellStyle name="20% - Accent3 2" xfId="35"/>
    <cellStyle name="20% - Accent3 2 2" xfId="36"/>
    <cellStyle name="20% - Accent3 2 2 2" xfId="37"/>
    <cellStyle name="20% - Accent3 3" xfId="38"/>
    <cellStyle name="20% - Accent3 3 2" xfId="39"/>
    <cellStyle name="20% - Accent3 3 3" xfId="40"/>
    <cellStyle name="20% - Accent3 4" xfId="41"/>
    <cellStyle name="20% - Accent3 4 2" xfId="42"/>
    <cellStyle name="20% - Accent3 4 2 2" xfId="43"/>
    <cellStyle name="20% - Accent3 4 3" xfId="44"/>
    <cellStyle name="20% - Accent3 5" xfId="45"/>
    <cellStyle name="20% - Accent3 5 2" xfId="46"/>
    <cellStyle name="20% - Accent3 6" xfId="47"/>
    <cellStyle name="20% - Accent4 2" xfId="48"/>
    <cellStyle name="20% - Accent4 2 2" xfId="49"/>
    <cellStyle name="20% - Accent4 2 2 2" xfId="50"/>
    <cellStyle name="20% - Accent4 2 3" xfId="51"/>
    <cellStyle name="20% - Accent4 2 4" xfId="52"/>
    <cellStyle name="20% - Accent4 3" xfId="53"/>
    <cellStyle name="20% - Accent4 3 2" xfId="54"/>
    <cellStyle name="20% - Accent4 3 2 2" xfId="55"/>
    <cellStyle name="20% - Accent4 3 3" xfId="56"/>
    <cellStyle name="20% - Accent4 3 4" xfId="57"/>
    <cellStyle name="20% - Accent4 4" xfId="58"/>
    <cellStyle name="20% - Accent4 4 2" xfId="59"/>
    <cellStyle name="20% - Accent4 4 2 2" xfId="60"/>
    <cellStyle name="20% - Accent4 4 3" xfId="61"/>
    <cellStyle name="20% - Accent4 4 4" xfId="62"/>
    <cellStyle name="20% - Accent4 4 5" xfId="63"/>
    <cellStyle name="20% - Accent4 5" xfId="64"/>
    <cellStyle name="20% - Accent4 5 2" xfId="65"/>
    <cellStyle name="20% - Accent4 6" xfId="66"/>
    <cellStyle name="20% - Accent5" xfId="67" builtinId="46" customBuiltin="1"/>
    <cellStyle name="20% - Accent5 2" xfId="68"/>
    <cellStyle name="20% - Accent5 2 2" xfId="69"/>
    <cellStyle name="20% - Accent5 2 2 2" xfId="70"/>
    <cellStyle name="20% - Accent5 3" xfId="71"/>
    <cellStyle name="20% - Accent5 3 2" xfId="72"/>
    <cellStyle name="20% - Accent5 3 2 2" xfId="73"/>
    <cellStyle name="20% - Accent5 3 3" xfId="74"/>
    <cellStyle name="20% - Accent5 4" xfId="75"/>
    <cellStyle name="20% - Accent5 4 2" xfId="76"/>
    <cellStyle name="20% - Accent5 4 2 2" xfId="77"/>
    <cellStyle name="20% - Accent5 4 3" xfId="78"/>
    <cellStyle name="20% - Accent5 5" xfId="79"/>
    <cellStyle name="20% - Accent5 5 2" xfId="80"/>
    <cellStyle name="20% - Accent5 6" xfId="81"/>
    <cellStyle name="20% - Accent6" xfId="82" builtinId="50" customBuiltin="1"/>
    <cellStyle name="20% - Accent6 2" xfId="83"/>
    <cellStyle name="20% - Accent6 2 2" xfId="84"/>
    <cellStyle name="20% - Accent6 2 3" xfId="85"/>
    <cellStyle name="20% - Accent6 3" xfId="86"/>
    <cellStyle name="20% - Accent6 3 2" xfId="87"/>
    <cellStyle name="20% - Accent6 3 3" xfId="88"/>
    <cellStyle name="20% - Accent6 4" xfId="89"/>
    <cellStyle name="20% - Accent6 4 2" xfId="90"/>
    <cellStyle name="20% - Accent6 4 2 2" xfId="91"/>
    <cellStyle name="20% - Accent6 4 3" xfId="92"/>
    <cellStyle name="20% - Accent6 5" xfId="93"/>
    <cellStyle name="20% - Accent6 5 2" xfId="94"/>
    <cellStyle name="20% - Accent6 6" xfId="95"/>
    <cellStyle name="40% - Accent1" xfId="96" builtinId="31" customBuiltin="1"/>
    <cellStyle name="40% - Accent1 2" xfId="97"/>
    <cellStyle name="40% - Accent1 2 2" xfId="98"/>
    <cellStyle name="40% - Accent1 2 3" xfId="99"/>
    <cellStyle name="40% - Accent1 3" xfId="100"/>
    <cellStyle name="40% - Accent1 3 2" xfId="101"/>
    <cellStyle name="40% - Accent1 3 2 2" xfId="102"/>
    <cellStyle name="40% - Accent1 3 3" xfId="103"/>
    <cellStyle name="40% - Accent1 3 4" xfId="104"/>
    <cellStyle name="40% - Accent1 4" xfId="105"/>
    <cellStyle name="40% - Accent1 4 2" xfId="106"/>
    <cellStyle name="40% - Accent1 4 2 2" xfId="107"/>
    <cellStyle name="40% - Accent1 5" xfId="108"/>
    <cellStyle name="40% - Accent1 5 2" xfId="109"/>
    <cellStyle name="40% - Accent1 6" xfId="110"/>
    <cellStyle name="40% - Accent1 7" xfId="111"/>
    <cellStyle name="40% - Accent2" xfId="112" builtinId="35" customBuiltin="1"/>
    <cellStyle name="40% - Accent2 2" xfId="113"/>
    <cellStyle name="40% - Accent2 2 2" xfId="114"/>
    <cellStyle name="40% - Accent2 2 2 2" xfId="115"/>
    <cellStyle name="40% - Accent2 3" xfId="116"/>
    <cellStyle name="40% - Accent2 3 2" xfId="117"/>
    <cellStyle name="40% - Accent2 3 2 2" xfId="118"/>
    <cellStyle name="40% - Accent2 3 3" xfId="119"/>
    <cellStyle name="40% - Accent2 4" xfId="120"/>
    <cellStyle name="40% - Accent2 4 2" xfId="121"/>
    <cellStyle name="40% - Accent2 4 2 2" xfId="122"/>
    <cellStyle name="40% - Accent2 4 3" xfId="123"/>
    <cellStyle name="40% - Accent2 5" xfId="124"/>
    <cellStyle name="40% - Accent2 5 2" xfId="125"/>
    <cellStyle name="40% - Accent2 6" xfId="126"/>
    <cellStyle name="40% - Accent3 2" xfId="127"/>
    <cellStyle name="40% - Accent3 2 2" xfId="128"/>
    <cellStyle name="40% - Accent3 2 3" xfId="129"/>
    <cellStyle name="40% - Accent3 3" xfId="130"/>
    <cellStyle name="40% - Accent3 3 2" xfId="131"/>
    <cellStyle name="40% - Accent3 3 3" xfId="132"/>
    <cellStyle name="40% - Accent3 4" xfId="133"/>
    <cellStyle name="40% - Accent3 4 2" xfId="134"/>
    <cellStyle name="40% - Accent3 4 2 2" xfId="135"/>
    <cellStyle name="40% - Accent3 4 3" xfId="136"/>
    <cellStyle name="40% - Accent3 5" xfId="137"/>
    <cellStyle name="40% - Accent3 5 2" xfId="138"/>
    <cellStyle name="40% - Accent3 6" xfId="139"/>
    <cellStyle name="40% - Accent4" xfId="140" builtinId="43" customBuiltin="1"/>
    <cellStyle name="40% - Accent4 2" xfId="141"/>
    <cellStyle name="40% - Accent4 2 2" xfId="142"/>
    <cellStyle name="40% - Accent4 2 3" xfId="143"/>
    <cellStyle name="40% - Accent4 3" xfId="144"/>
    <cellStyle name="40% - Accent4 3 2" xfId="145"/>
    <cellStyle name="40% - Accent4 3 2 2" xfId="146"/>
    <cellStyle name="40% - Accent4 3 3" xfId="147"/>
    <cellStyle name="40% - Accent4 3 4" xfId="148"/>
    <cellStyle name="40% - Accent4 4" xfId="149"/>
    <cellStyle name="40% - Accent4 4 2" xfId="150"/>
    <cellStyle name="40% - Accent4 4 2 2" xfId="151"/>
    <cellStyle name="40% - Accent4 5" xfId="152"/>
    <cellStyle name="40% - Accent4 5 2" xfId="153"/>
    <cellStyle name="40% - Accent4 6" xfId="154"/>
    <cellStyle name="40% - Accent4 7" xfId="155"/>
    <cellStyle name="40% - Accent5" xfId="156" builtinId="47" customBuiltin="1"/>
    <cellStyle name="40% - Accent5 2" xfId="157"/>
    <cellStyle name="40% - Accent5 2 2" xfId="158"/>
    <cellStyle name="40% - Accent5 2 3" xfId="159"/>
    <cellStyle name="40% - Accent5 3" xfId="160"/>
    <cellStyle name="40% - Accent5 3 2" xfId="161"/>
    <cellStyle name="40% - Accent5 3 3" xfId="162"/>
    <cellStyle name="40% - Accent5 4" xfId="163"/>
    <cellStyle name="40% - Accent5 4 2" xfId="164"/>
    <cellStyle name="40% - Accent5 4 2 2" xfId="165"/>
    <cellStyle name="40% - Accent5 4 3" xfId="166"/>
    <cellStyle name="40% - Accent5 5" xfId="167"/>
    <cellStyle name="40% - Accent5 5 2" xfId="168"/>
    <cellStyle name="40% - Accent5 6" xfId="169"/>
    <cellStyle name="40% - Accent6" xfId="170" builtinId="51" customBuiltin="1"/>
    <cellStyle name="40% - Accent6 2" xfId="171"/>
    <cellStyle name="40% - Accent6 2 2" xfId="172"/>
    <cellStyle name="40% - Accent6 2 2 2" xfId="173"/>
    <cellStyle name="40% - Accent6 2 3" xfId="174"/>
    <cellStyle name="40% - Accent6 3" xfId="175"/>
    <cellStyle name="40% - Accent6 3 2" xfId="176"/>
    <cellStyle name="40% - Accent6 3 2 2" xfId="177"/>
    <cellStyle name="40% - Accent6 3 3" xfId="178"/>
    <cellStyle name="40% - Accent6 3 4" xfId="179"/>
    <cellStyle name="40% - Accent6 4" xfId="180"/>
    <cellStyle name="40% - Accent6 4 2" xfId="181"/>
    <cellStyle name="40% - Accent6 4 2 2" xfId="182"/>
    <cellStyle name="40% - Accent6 5" xfId="183"/>
    <cellStyle name="40% - Accent6 5 2" xfId="184"/>
    <cellStyle name="40% - Accent6 6" xfId="185"/>
    <cellStyle name="40% - Accent6 7" xfId="186"/>
    <cellStyle name="60% - Accent1" xfId="187" builtinId="32" customBuiltin="1"/>
    <cellStyle name="60% - Accent1 2" xfId="188"/>
    <cellStyle name="60% - Accent1 2 2" xfId="189"/>
    <cellStyle name="60% - Accent1 2 2 2" xfId="190"/>
    <cellStyle name="60% - Accent1 2 3" xfId="191"/>
    <cellStyle name="60% - Accent1 2 4" xfId="192"/>
    <cellStyle name="60% - Accent1 2 4 2" xfId="193"/>
    <cellStyle name="60% - Accent1 3" xfId="194"/>
    <cellStyle name="60% - Accent1 3 2" xfId="195"/>
    <cellStyle name="60% - Accent1 3 3" xfId="196"/>
    <cellStyle name="60% - Accent1 3 4" xfId="197"/>
    <cellStyle name="60% - Accent1 4" xfId="198"/>
    <cellStyle name="60% - Accent1 4 2" xfId="199"/>
    <cellStyle name="60% - Accent2" xfId="200" builtinId="36" customBuiltin="1"/>
    <cellStyle name="60% - Accent2 2" xfId="201"/>
    <cellStyle name="60% - Accent2 2 2" xfId="202"/>
    <cellStyle name="60% - Accent2 2 3" xfId="203"/>
    <cellStyle name="60% - Accent2 3" xfId="204"/>
    <cellStyle name="60% - Accent2 3 2" xfId="205"/>
    <cellStyle name="60% - Accent2 3 3" xfId="206"/>
    <cellStyle name="60% - Accent2 4" xfId="207"/>
    <cellStyle name="60% - Accent3 2" xfId="208"/>
    <cellStyle name="60% - Accent3 2 2" xfId="209"/>
    <cellStyle name="60% - Accent3 2 3" xfId="210"/>
    <cellStyle name="60% - Accent3 3" xfId="211"/>
    <cellStyle name="60% - Accent3 3 2" xfId="212"/>
    <cellStyle name="60% - Accent3 3 3" xfId="213"/>
    <cellStyle name="60% - Accent3 3 4" xfId="214"/>
    <cellStyle name="60% - Accent3 4" xfId="215"/>
    <cellStyle name="60% - Accent3 4 2" xfId="216"/>
    <cellStyle name="60% - Accent3 4 3" xfId="217"/>
    <cellStyle name="60% - Accent3 4 4" xfId="218"/>
    <cellStyle name="60% - Accent4 2" xfId="219"/>
    <cellStyle name="60% - Accent4 2 2" xfId="220"/>
    <cellStyle name="60% - Accent4 2 3" xfId="221"/>
    <cellStyle name="60% - Accent4 3" xfId="222"/>
    <cellStyle name="60% - Accent4 3 2" xfId="223"/>
    <cellStyle name="60% - Accent4 3 3" xfId="224"/>
    <cellStyle name="60% - Accent4 3 4" xfId="225"/>
    <cellStyle name="60% - Accent4 4" xfId="226"/>
    <cellStyle name="60% - Accent4 4 2" xfId="227"/>
    <cellStyle name="60% - Accent4 4 3" xfId="228"/>
    <cellStyle name="60% - Accent4 4 4" xfId="229"/>
    <cellStyle name="60% - Accent5" xfId="230" builtinId="48" customBuiltin="1"/>
    <cellStyle name="60% - Accent5 2" xfId="231"/>
    <cellStyle name="60% - Accent5 2 2" xfId="232"/>
    <cellStyle name="60% - Accent5 2 2 2" xfId="233"/>
    <cellStyle name="60% - Accent5 2 3" xfId="234"/>
    <cellStyle name="60% - Accent5 2 4" xfId="235"/>
    <cellStyle name="60% - Accent5 2 4 2" xfId="236"/>
    <cellStyle name="60% - Accent5 3" xfId="237"/>
    <cellStyle name="60% - Accent5 3 2" xfId="238"/>
    <cellStyle name="60% - Accent5 3 3" xfId="239"/>
    <cellStyle name="60% - Accent5 4" xfId="240"/>
    <cellStyle name="60% - Accent6 2" xfId="241"/>
    <cellStyle name="60% - Accent6 2 2" xfId="242"/>
    <cellStyle name="60% - Accent6 2 3" xfId="243"/>
    <cellStyle name="60% - Accent6 3" xfId="244"/>
    <cellStyle name="60% - Accent6 3 2" xfId="245"/>
    <cellStyle name="60% - Accent6 3 3" xfId="246"/>
    <cellStyle name="60% - Accent6 4" xfId="247"/>
    <cellStyle name="Accent1" xfId="248" builtinId="29" customBuiltin="1"/>
    <cellStyle name="Accent1 2" xfId="249"/>
    <cellStyle name="Accent1 2 2" xfId="250"/>
    <cellStyle name="Accent1 2 2 2" xfId="251"/>
    <cellStyle name="Accent1 2 3" xfId="252"/>
    <cellStyle name="Accent1 2 4" xfId="253"/>
    <cellStyle name="Accent1 2 4 2" xfId="254"/>
    <cellStyle name="Accent1 3" xfId="255"/>
    <cellStyle name="Accent1 3 2" xfId="256"/>
    <cellStyle name="Accent1 3 3" xfId="257"/>
    <cellStyle name="Accent1 3 4" xfId="258"/>
    <cellStyle name="Accent1 4" xfId="259"/>
    <cellStyle name="Accent1 4 2" xfId="260"/>
    <cellStyle name="Accent2" xfId="261" builtinId="33" customBuiltin="1"/>
    <cellStyle name="Accent2 2" xfId="262"/>
    <cellStyle name="Accent2 2 2" xfId="263"/>
    <cellStyle name="Accent2 2 3" xfId="264"/>
    <cellStyle name="Accent2 3" xfId="265"/>
    <cellStyle name="Accent2 3 2" xfId="266"/>
    <cellStyle name="Accent2 3 3" xfId="267"/>
    <cellStyle name="Accent2 4" xfId="268"/>
    <cellStyle name="Accent3" xfId="269" builtinId="37" customBuiltin="1"/>
    <cellStyle name="Accent3 2" xfId="270"/>
    <cellStyle name="Accent3 2 2" xfId="271"/>
    <cellStyle name="Accent3 2 3" xfId="272"/>
    <cellStyle name="Accent3 2 4" xfId="273"/>
    <cellStyle name="Accent3 2 4 2" xfId="274"/>
    <cellStyle name="Accent3 3" xfId="275"/>
    <cellStyle name="Accent3 3 2" xfId="276"/>
    <cellStyle name="Accent3 3 3" xfId="277"/>
    <cellStyle name="Accent3 4" xfId="278"/>
    <cellStyle name="Accent4" xfId="279" builtinId="41" customBuiltin="1"/>
    <cellStyle name="Accent4 2" xfId="280"/>
    <cellStyle name="Accent4 2 2" xfId="281"/>
    <cellStyle name="Accent4 2 2 2" xfId="282"/>
    <cellStyle name="Accent4 2 2 3" xfId="283"/>
    <cellStyle name="Accent4 2 3" xfId="284"/>
    <cellStyle name="Accent4 2 3 2" xfId="285"/>
    <cellStyle name="Accent4 3" xfId="286"/>
    <cellStyle name="Accent4 3 2" xfId="287"/>
    <cellStyle name="Accent4 3 3" xfId="288"/>
    <cellStyle name="Accent4 4" xfId="289"/>
    <cellStyle name="Accent5" xfId="290" builtinId="45" customBuiltin="1"/>
    <cellStyle name="Accent5 2" xfId="291"/>
    <cellStyle name="Accent5 2 2" xfId="292"/>
    <cellStyle name="Accent5 2 2 2" xfId="293"/>
    <cellStyle name="Accent5 2 2 3" xfId="294"/>
    <cellStyle name="Accent5 2 3" xfId="295"/>
    <cellStyle name="Accent5 2 3 2" xfId="296"/>
    <cellStyle name="Accent5 2 4" xfId="297"/>
    <cellStyle name="Accent5 3" xfId="298"/>
    <cellStyle name="Accent5 4" xfId="299"/>
    <cellStyle name="Accent6" xfId="300" builtinId="49" customBuiltin="1"/>
    <cellStyle name="Accent6 2" xfId="301"/>
    <cellStyle name="Accent6 2 2" xfId="302"/>
    <cellStyle name="Accent6 2 3" xfId="303"/>
    <cellStyle name="Accent6 2 4" xfId="304"/>
    <cellStyle name="Accent6 2 4 2" xfId="305"/>
    <cellStyle name="Accent6 3" xfId="306"/>
    <cellStyle name="Accent6 3 2" xfId="307"/>
    <cellStyle name="Accent6 3 3" xfId="308"/>
    <cellStyle name="Accent6 4" xfId="309"/>
    <cellStyle name="Accounting" xfId="310"/>
    <cellStyle name="Accounting 2" xfId="311"/>
    <cellStyle name="Accounting 2 2" xfId="312"/>
    <cellStyle name="Accounting 3" xfId="313"/>
    <cellStyle name="Accounting 3 2" xfId="314"/>
    <cellStyle name="Accounting 4" xfId="315"/>
    <cellStyle name="Accounting_2011-11" xfId="316"/>
    <cellStyle name="APS" xfId="317"/>
    <cellStyle name="APSLabels" xfId="318"/>
    <cellStyle name="APSLabels 2" xfId="319"/>
    <cellStyle name="APSLabels 2 2" xfId="320"/>
    <cellStyle name="APSLabels 3" xfId="321"/>
    <cellStyle name="APSLabels 4" xfId="322"/>
    <cellStyle name="Bad" xfId="323" builtinId="27" customBuiltin="1"/>
    <cellStyle name="Bad 2" xfId="324"/>
    <cellStyle name="Bad 2 2" xfId="325"/>
    <cellStyle name="Bad 2 3" xfId="326"/>
    <cellStyle name="Bad 3" xfId="327"/>
    <cellStyle name="Bad 3 2" xfId="328"/>
    <cellStyle name="Bad 3 3" xfId="329"/>
    <cellStyle name="Bad 4" xfId="330"/>
    <cellStyle name="Budget" xfId="331"/>
    <cellStyle name="Budget 2" xfId="332"/>
    <cellStyle name="Budget 3" xfId="333"/>
    <cellStyle name="Budget_2011-11" xfId="334"/>
    <cellStyle name="Calculation" xfId="335" builtinId="22" customBuiltin="1"/>
    <cellStyle name="Calculation 2" xfId="336"/>
    <cellStyle name="Calculation 2 2" xfId="337"/>
    <cellStyle name="Calculation 2 2 2" xfId="338"/>
    <cellStyle name="Calculation 2 2 2 2" xfId="339"/>
    <cellStyle name="Calculation 2 2 2 3" xfId="340"/>
    <cellStyle name="Calculation 2 2 2 4" xfId="341"/>
    <cellStyle name="Calculation 2 2 2 5" xfId="342"/>
    <cellStyle name="Calculation 2 2 3" xfId="343"/>
    <cellStyle name="Calculation 2 2 3 2" xfId="344"/>
    <cellStyle name="Calculation 2 2 3 3" xfId="345"/>
    <cellStyle name="Calculation 2 2 3 4" xfId="346"/>
    <cellStyle name="Calculation 2 2 3 5" xfId="347"/>
    <cellStyle name="Calculation 2 3" xfId="348"/>
    <cellStyle name="Calculation 2 3 2" xfId="349"/>
    <cellStyle name="Calculation 2 3 2 2" xfId="350"/>
    <cellStyle name="Calculation 2 3 2 3" xfId="351"/>
    <cellStyle name="Calculation 2 3 2 4" xfId="352"/>
    <cellStyle name="Calculation 2 3 2 5" xfId="353"/>
    <cellStyle name="Calculation 2 3 3" xfId="354"/>
    <cellStyle name="Calculation 2 4" xfId="355"/>
    <cellStyle name="Calculation 2 4 2" xfId="356"/>
    <cellStyle name="Calculation 2 4 2 2" xfId="357"/>
    <cellStyle name="Calculation 2 4 2 3" xfId="358"/>
    <cellStyle name="Calculation 2 4 2 4" xfId="359"/>
    <cellStyle name="Calculation 2 4 2 5" xfId="360"/>
    <cellStyle name="Calculation 2 4 3" xfId="361"/>
    <cellStyle name="Calculation 2 4 4" xfId="362"/>
    <cellStyle name="Calculation 2 5" xfId="363"/>
    <cellStyle name="Calculation 2 5 2" xfId="364"/>
    <cellStyle name="Calculation 2 5 3" xfId="365"/>
    <cellStyle name="Calculation 2 5 4" xfId="366"/>
    <cellStyle name="Calculation 2 5 5" xfId="367"/>
    <cellStyle name="Calculation 2 6" xfId="368"/>
    <cellStyle name="Calculation 3" xfId="369"/>
    <cellStyle name="Calculation 3 2" xfId="370"/>
    <cellStyle name="Calculation 3 2 2" xfId="371"/>
    <cellStyle name="Calculation 3 2 2 2" xfId="372"/>
    <cellStyle name="Calculation 3 2 2 3" xfId="373"/>
    <cellStyle name="Calculation 3 2 2 4" xfId="374"/>
    <cellStyle name="Calculation 3 2 2 5" xfId="375"/>
    <cellStyle name="Calculation 3 2 3" xfId="376"/>
    <cellStyle name="Calculation 3 2 3 2" xfId="377"/>
    <cellStyle name="Calculation 3 2 3 3" xfId="378"/>
    <cellStyle name="Calculation 3 2 3 4" xfId="379"/>
    <cellStyle name="Calculation 3 2 3 5" xfId="380"/>
    <cellStyle name="Calculation 3 3" xfId="381"/>
    <cellStyle name="Calculation 3 3 2" xfId="382"/>
    <cellStyle name="Calculation 3 3 2 2" xfId="383"/>
    <cellStyle name="Calculation 3 3 2 3" xfId="384"/>
    <cellStyle name="Calculation 3 3 2 4" xfId="385"/>
    <cellStyle name="Calculation 3 3 2 5" xfId="386"/>
    <cellStyle name="Calculation 3 3 3" xfId="387"/>
    <cellStyle name="Calculation 3 4" xfId="388"/>
    <cellStyle name="Calculation 3 4 2" xfId="389"/>
    <cellStyle name="Calculation 3 4 3" xfId="390"/>
    <cellStyle name="Calculation 3 4 4" xfId="391"/>
    <cellStyle name="Calculation 3 4 5" xfId="392"/>
    <cellStyle name="Calculation 3 5" xfId="393"/>
    <cellStyle name="Calculation 3 5 2" xfId="394"/>
    <cellStyle name="Calculation 3 5 3" xfId="395"/>
    <cellStyle name="Calculation 3 5 4" xfId="396"/>
    <cellStyle name="Calculation 3 5 5" xfId="397"/>
    <cellStyle name="Calculation 4" xfId="398"/>
    <cellStyle name="Calculation 4 2" xfId="399"/>
    <cellStyle name="Calculation 4 3" xfId="400"/>
    <cellStyle name="Calculation 4 3 2" xfId="401"/>
    <cellStyle name="Calculation 4 3 3" xfId="402"/>
    <cellStyle name="Calculation 4 3 4" xfId="403"/>
    <cellStyle name="Calculation 4 3 5" xfId="404"/>
    <cellStyle name="Calculation 4 4" xfId="405"/>
    <cellStyle name="Check Cell" xfId="406" builtinId="23" customBuiltin="1"/>
    <cellStyle name="Check Cell 2" xfId="407"/>
    <cellStyle name="Check Cell 2 2" xfId="408"/>
    <cellStyle name="Check Cell 2 2 2" xfId="409"/>
    <cellStyle name="Check Cell 2 3" xfId="410"/>
    <cellStyle name="Check Cell 2 4" xfId="411"/>
    <cellStyle name="Check Cell 3" xfId="412"/>
    <cellStyle name="Check Cell 4" xfId="413"/>
    <cellStyle name="Color" xfId="414"/>
    <cellStyle name="combo" xfId="415"/>
    <cellStyle name="Comma" xfId="15262" builtinId="3"/>
    <cellStyle name="Comma 10" xfId="416"/>
    <cellStyle name="Comma 10 2" xfId="417"/>
    <cellStyle name="Comma 11" xfId="418"/>
    <cellStyle name="Comma 11 2" xfId="419"/>
    <cellStyle name="Comma 11 2 2" xfId="420"/>
    <cellStyle name="Comma 11 2 2 2" xfId="421"/>
    <cellStyle name="Comma 11 2 2 2 2" xfId="422"/>
    <cellStyle name="Comma 11 2 2 2 2 2" xfId="423"/>
    <cellStyle name="Comma 11 2 2 2 2 2 2" xfId="424"/>
    <cellStyle name="Comma 11 2 2 2 2 3" xfId="425"/>
    <cellStyle name="Comma 11 2 2 2 2 3 2" xfId="426"/>
    <cellStyle name="Comma 11 2 2 2 2 4" xfId="427"/>
    <cellStyle name="Comma 11 2 2 2 3" xfId="428"/>
    <cellStyle name="Comma 11 2 2 2 3 2" xfId="429"/>
    <cellStyle name="Comma 11 2 2 2 4" xfId="430"/>
    <cellStyle name="Comma 11 2 2 2 4 2" xfId="431"/>
    <cellStyle name="Comma 11 2 2 2 5" xfId="432"/>
    <cellStyle name="Comma 11 2 2 3" xfId="433"/>
    <cellStyle name="Comma 11 2 2 3 2" xfId="434"/>
    <cellStyle name="Comma 11 2 2 3 2 2" xfId="435"/>
    <cellStyle name="Comma 11 2 2 3 3" xfId="436"/>
    <cellStyle name="Comma 11 2 2 3 3 2" xfId="437"/>
    <cellStyle name="Comma 11 2 2 3 4" xfId="438"/>
    <cellStyle name="Comma 11 2 2 4" xfId="439"/>
    <cellStyle name="Comma 11 2 2 4 2" xfId="440"/>
    <cellStyle name="Comma 11 2 2 5" xfId="441"/>
    <cellStyle name="Comma 11 2 2 5 2" xfId="442"/>
    <cellStyle name="Comma 11 2 2 6" xfId="443"/>
    <cellStyle name="Comma 11 2 3" xfId="444"/>
    <cellStyle name="Comma 11 2 3 2" xfId="445"/>
    <cellStyle name="Comma 11 2 3 2 2" xfId="446"/>
    <cellStyle name="Comma 11 2 3 2 2 2" xfId="447"/>
    <cellStyle name="Comma 11 2 3 2 3" xfId="448"/>
    <cellStyle name="Comma 11 2 3 2 3 2" xfId="449"/>
    <cellStyle name="Comma 11 2 3 2 4" xfId="450"/>
    <cellStyle name="Comma 11 2 3 3" xfId="451"/>
    <cellStyle name="Comma 11 2 3 3 2" xfId="452"/>
    <cellStyle name="Comma 11 2 3 4" xfId="453"/>
    <cellStyle name="Comma 11 2 3 4 2" xfId="454"/>
    <cellStyle name="Comma 11 2 3 5" xfId="455"/>
    <cellStyle name="Comma 11 2 4" xfId="456"/>
    <cellStyle name="Comma 11 2 4 2" xfId="457"/>
    <cellStyle name="Comma 11 2 4 2 2" xfId="458"/>
    <cellStyle name="Comma 11 2 4 3" xfId="459"/>
    <cellStyle name="Comma 11 2 4 3 2" xfId="460"/>
    <cellStyle name="Comma 11 2 4 4" xfId="461"/>
    <cellStyle name="Comma 11 2 5" xfId="462"/>
    <cellStyle name="Comma 11 2 5 2" xfId="463"/>
    <cellStyle name="Comma 11 2 6" xfId="464"/>
    <cellStyle name="Comma 11 2 6 2" xfId="465"/>
    <cellStyle name="Comma 11 2 7" xfId="466"/>
    <cellStyle name="Comma 11 3" xfId="467"/>
    <cellStyle name="Comma 11 3 2" xfId="468"/>
    <cellStyle name="Comma 11 3 2 2" xfId="469"/>
    <cellStyle name="Comma 11 3 2 2 2" xfId="470"/>
    <cellStyle name="Comma 11 3 2 2 2 2" xfId="471"/>
    <cellStyle name="Comma 11 3 2 2 3" xfId="472"/>
    <cellStyle name="Comma 11 3 2 2 3 2" xfId="473"/>
    <cellStyle name="Comma 11 3 2 2 4" xfId="474"/>
    <cellStyle name="Comma 11 3 2 3" xfId="475"/>
    <cellStyle name="Comma 11 3 2 3 2" xfId="476"/>
    <cellStyle name="Comma 11 3 2 4" xfId="477"/>
    <cellStyle name="Comma 11 3 2 4 2" xfId="478"/>
    <cellStyle name="Comma 11 3 2 5" xfId="479"/>
    <cellStyle name="Comma 11 3 3" xfId="480"/>
    <cellStyle name="Comma 11 3 3 2" xfId="481"/>
    <cellStyle name="Comma 11 3 3 2 2" xfId="482"/>
    <cellStyle name="Comma 11 3 3 3" xfId="483"/>
    <cellStyle name="Comma 11 3 3 3 2" xfId="484"/>
    <cellStyle name="Comma 11 3 3 4" xfId="485"/>
    <cellStyle name="Comma 11 3 4" xfId="486"/>
    <cellStyle name="Comma 11 3 4 2" xfId="487"/>
    <cellStyle name="Comma 11 3 5" xfId="488"/>
    <cellStyle name="Comma 11 3 5 2" xfId="489"/>
    <cellStyle name="Comma 11 3 6" xfId="490"/>
    <cellStyle name="Comma 11 4" xfId="491"/>
    <cellStyle name="Comma 11 4 2" xfId="492"/>
    <cellStyle name="Comma 11 4 2 2" xfId="493"/>
    <cellStyle name="Comma 11 4 2 2 2" xfId="494"/>
    <cellStyle name="Comma 11 4 2 3" xfId="495"/>
    <cellStyle name="Comma 11 4 2 3 2" xfId="496"/>
    <cellStyle name="Comma 11 4 2 4" xfId="497"/>
    <cellStyle name="Comma 11 4 3" xfId="498"/>
    <cellStyle name="Comma 11 4 3 2" xfId="499"/>
    <cellStyle name="Comma 11 4 4" xfId="500"/>
    <cellStyle name="Comma 11 4 4 2" xfId="501"/>
    <cellStyle name="Comma 11 4 5" xfId="502"/>
    <cellStyle name="Comma 11 5" xfId="503"/>
    <cellStyle name="Comma 11 5 2" xfId="504"/>
    <cellStyle name="Comma 11 5 2 2" xfId="505"/>
    <cellStyle name="Comma 11 5 3" xfId="506"/>
    <cellStyle name="Comma 11 5 3 2" xfId="507"/>
    <cellStyle name="Comma 11 5 4" xfId="508"/>
    <cellStyle name="Comma 11 6" xfId="509"/>
    <cellStyle name="Comma 11 6 2" xfId="510"/>
    <cellStyle name="Comma 11 7" xfId="511"/>
    <cellStyle name="Comma 11 7 2" xfId="512"/>
    <cellStyle name="Comma 11 8" xfId="513"/>
    <cellStyle name="Comma 12" xfId="514"/>
    <cellStyle name="Comma 12 2" xfId="515"/>
    <cellStyle name="Comma 12 2 2" xfId="516"/>
    <cellStyle name="Comma 12 2 2 2" xfId="517"/>
    <cellStyle name="Comma 12 2 2 2 2" xfId="518"/>
    <cellStyle name="Comma 12 2 2 2 2 2" xfId="519"/>
    <cellStyle name="Comma 12 2 2 2 3" xfId="520"/>
    <cellStyle name="Comma 12 2 2 2 3 2" xfId="521"/>
    <cellStyle name="Comma 12 2 2 2 4" xfId="522"/>
    <cellStyle name="Comma 12 2 2 3" xfId="523"/>
    <cellStyle name="Comma 12 2 2 3 2" xfId="524"/>
    <cellStyle name="Comma 12 2 2 4" xfId="525"/>
    <cellStyle name="Comma 12 2 2 4 2" xfId="526"/>
    <cellStyle name="Comma 12 2 2 5" xfId="527"/>
    <cellStyle name="Comma 12 2 3" xfId="528"/>
    <cellStyle name="Comma 12 2 3 2" xfId="529"/>
    <cellStyle name="Comma 12 2 3 2 2" xfId="530"/>
    <cellStyle name="Comma 12 2 3 3" xfId="531"/>
    <cellStyle name="Comma 12 2 3 3 2" xfId="532"/>
    <cellStyle name="Comma 12 2 3 4" xfId="533"/>
    <cellStyle name="Comma 12 2 4" xfId="534"/>
    <cellStyle name="Comma 12 2 4 2" xfId="535"/>
    <cellStyle name="Comma 12 2 5" xfId="536"/>
    <cellStyle name="Comma 12 2 5 2" xfId="537"/>
    <cellStyle name="Comma 12 2 6" xfId="538"/>
    <cellStyle name="Comma 12 3" xfId="539"/>
    <cellStyle name="Comma 12 4" xfId="540"/>
    <cellStyle name="Comma 12 5" xfId="541"/>
    <cellStyle name="Comma 12 6" xfId="542"/>
    <cellStyle name="Comma 13" xfId="543"/>
    <cellStyle name="Comma 13 2" xfId="544"/>
    <cellStyle name="Comma 13 2 2" xfId="545"/>
    <cellStyle name="Comma 13 2 2 2" xfId="546"/>
    <cellStyle name="Comma 13 2 2 2 2" xfId="547"/>
    <cellStyle name="Comma 13 2 2 2 2 2" xfId="548"/>
    <cellStyle name="Comma 13 2 2 2 3" xfId="549"/>
    <cellStyle name="Comma 13 2 2 2 3 2" xfId="550"/>
    <cellStyle name="Comma 13 2 2 2 4" xfId="551"/>
    <cellStyle name="Comma 13 2 2 3" xfId="552"/>
    <cellStyle name="Comma 13 2 2 3 2" xfId="553"/>
    <cellStyle name="Comma 13 2 2 4" xfId="554"/>
    <cellStyle name="Comma 13 2 2 4 2" xfId="555"/>
    <cellStyle name="Comma 13 2 2 5" xfId="556"/>
    <cellStyle name="Comma 13 2 3" xfId="557"/>
    <cellStyle name="Comma 13 2 3 2" xfId="558"/>
    <cellStyle name="Comma 13 2 3 2 2" xfId="559"/>
    <cellStyle name="Comma 13 2 3 3" xfId="560"/>
    <cellStyle name="Comma 13 2 3 3 2" xfId="561"/>
    <cellStyle name="Comma 13 2 3 4" xfId="562"/>
    <cellStyle name="Comma 13 2 4" xfId="563"/>
    <cellStyle name="Comma 13 2 4 2" xfId="564"/>
    <cellStyle name="Comma 13 2 5" xfId="565"/>
    <cellStyle name="Comma 13 2 5 2" xfId="566"/>
    <cellStyle name="Comma 13 2 6" xfId="567"/>
    <cellStyle name="Comma 13 3" xfId="568"/>
    <cellStyle name="Comma 13 3 2" xfId="569"/>
    <cellStyle name="Comma 13 3 2 2" xfId="570"/>
    <cellStyle name="Comma 13 3 2 2 2" xfId="571"/>
    <cellStyle name="Comma 13 3 2 3" xfId="572"/>
    <cellStyle name="Comma 13 3 2 3 2" xfId="573"/>
    <cellStyle name="Comma 13 3 2 4" xfId="574"/>
    <cellStyle name="Comma 13 3 3" xfId="575"/>
    <cellStyle name="Comma 13 3 3 2" xfId="576"/>
    <cellStyle name="Comma 13 3 4" xfId="577"/>
    <cellStyle name="Comma 13 3 4 2" xfId="578"/>
    <cellStyle name="Comma 13 3 5" xfId="579"/>
    <cellStyle name="Comma 13 4" xfId="580"/>
    <cellStyle name="Comma 13 4 2" xfId="581"/>
    <cellStyle name="Comma 13 4 2 2" xfId="582"/>
    <cellStyle name="Comma 13 4 3" xfId="583"/>
    <cellStyle name="Comma 13 4 3 2" xfId="584"/>
    <cellStyle name="Comma 13 4 4" xfId="585"/>
    <cellStyle name="Comma 13 5" xfId="586"/>
    <cellStyle name="Comma 13 5 2" xfId="587"/>
    <cellStyle name="Comma 13 6" xfId="588"/>
    <cellStyle name="Comma 13 6 2" xfId="589"/>
    <cellStyle name="Comma 13 7" xfId="590"/>
    <cellStyle name="Comma 13 8" xfId="591"/>
    <cellStyle name="Comma 14" xfId="592"/>
    <cellStyle name="Comma 14 2" xfId="593"/>
    <cellStyle name="Comma 15" xfId="594"/>
    <cellStyle name="Comma 15 2" xfId="595"/>
    <cellStyle name="Comma 15 2 2" xfId="596"/>
    <cellStyle name="Comma 15 3" xfId="597"/>
    <cellStyle name="Comma 15 4" xfId="598"/>
    <cellStyle name="Comma 16" xfId="599"/>
    <cellStyle name="Comma 16 2" xfId="600"/>
    <cellStyle name="Comma 16 2 2" xfId="601"/>
    <cellStyle name="Comma 16 2 2 2" xfId="602"/>
    <cellStyle name="Comma 16 2 3" xfId="603"/>
    <cellStyle name="Comma 16 2 3 2" xfId="604"/>
    <cellStyle name="Comma 16 2 4" xfId="605"/>
    <cellStyle name="Comma 16 3" xfId="606"/>
    <cellStyle name="Comma 16 3 2" xfId="607"/>
    <cellStyle name="Comma 16 4" xfId="608"/>
    <cellStyle name="Comma 16 4 2" xfId="609"/>
    <cellStyle name="Comma 16 5" xfId="610"/>
    <cellStyle name="Comma 17" xfId="611"/>
    <cellStyle name="Comma 17 2" xfId="612"/>
    <cellStyle name="Comma 17 2 2" xfId="613"/>
    <cellStyle name="Comma 17 3" xfId="614"/>
    <cellStyle name="Comma 17 4" xfId="615"/>
    <cellStyle name="Comma 17 5" xfId="616"/>
    <cellStyle name="Comma 18" xfId="617"/>
    <cellStyle name="Comma 18 2" xfId="618"/>
    <cellStyle name="Comma 18 2 2" xfId="619"/>
    <cellStyle name="Comma 18 3" xfId="620"/>
    <cellStyle name="Comma 18 4" xfId="621"/>
    <cellStyle name="Comma 18 5" xfId="622"/>
    <cellStyle name="Comma 19" xfId="623"/>
    <cellStyle name="Comma 19 2" xfId="624"/>
    <cellStyle name="Comma 19 3" xfId="625"/>
    <cellStyle name="Comma 19 4" xfId="626"/>
    <cellStyle name="Comma 19 5" xfId="627"/>
    <cellStyle name="Comma 19 6" xfId="628"/>
    <cellStyle name="Comma 2" xfId="629"/>
    <cellStyle name="Comma 2 2" xfId="630"/>
    <cellStyle name="Comma 2 2 2" xfId="631"/>
    <cellStyle name="Comma 2 2 2 2" xfId="632"/>
    <cellStyle name="Comma 2 2 2 2 2" xfId="633"/>
    <cellStyle name="Comma 2 2 2 2 3" xfId="634"/>
    <cellStyle name="Comma 2 2 2 2 4" xfId="635"/>
    <cellStyle name="Comma 2 2 3" xfId="636"/>
    <cellStyle name="Comma 2 2 3 2" xfId="637"/>
    <cellStyle name="Comma 2 2 3 3" xfId="638"/>
    <cellStyle name="Comma 2 3" xfId="639"/>
    <cellStyle name="Comma 2 3 2" xfId="640"/>
    <cellStyle name="Comma 2 4" xfId="641"/>
    <cellStyle name="Comma 2 4 2" xfId="642"/>
    <cellStyle name="Comma 2 4 2 2" xfId="643"/>
    <cellStyle name="Comma 2 4 2 2 2" xfId="644"/>
    <cellStyle name="Comma 2 4 3" xfId="645"/>
    <cellStyle name="Comma 2 4 4" xfId="646"/>
    <cellStyle name="Comma 2 4 5" xfId="647"/>
    <cellStyle name="Comma 2 5" xfId="648"/>
    <cellStyle name="Comma 2 5 2" xfId="649"/>
    <cellStyle name="Comma 2 5 3" xfId="650"/>
    <cellStyle name="Comma 2 6" xfId="651"/>
    <cellStyle name="Comma 2 6 2" xfId="652"/>
    <cellStyle name="Comma 2 6 2 2" xfId="653"/>
    <cellStyle name="Comma 2 6 3" xfId="654"/>
    <cellStyle name="Comma 2 6 3 2" xfId="655"/>
    <cellStyle name="Comma 2 6 3 3" xfId="656"/>
    <cellStyle name="Comma 2 6 4" xfId="657"/>
    <cellStyle name="Comma 2 6 5" xfId="658"/>
    <cellStyle name="Comma 2 7" xfId="659"/>
    <cellStyle name="Comma 2 7 2" xfId="660"/>
    <cellStyle name="Comma 2 7 3" xfId="661"/>
    <cellStyle name="Comma 2 7 4" xfId="662"/>
    <cellStyle name="Comma 2 7 5" xfId="663"/>
    <cellStyle name="Comma 2 8" xfId="664"/>
    <cellStyle name="Comma 2 9" xfId="665"/>
    <cellStyle name="Comma 20" xfId="666"/>
    <cellStyle name="Comma 20 2" xfId="667"/>
    <cellStyle name="Comma 20 3" xfId="668"/>
    <cellStyle name="Comma 20 4" xfId="669"/>
    <cellStyle name="Comma 21" xfId="670"/>
    <cellStyle name="Comma 21 2" xfId="671"/>
    <cellStyle name="Comma 21 3" xfId="672"/>
    <cellStyle name="Comma 21 4" xfId="673"/>
    <cellStyle name="Comma 22" xfId="674"/>
    <cellStyle name="Comma 22 2" xfId="675"/>
    <cellStyle name="Comma 23" xfId="676"/>
    <cellStyle name="Comma 24" xfId="677"/>
    <cellStyle name="Comma 25" xfId="678"/>
    <cellStyle name="Comma 25 2" xfId="679"/>
    <cellStyle name="Comma 25 2 2" xfId="680"/>
    <cellStyle name="Comma 26" xfId="681"/>
    <cellStyle name="Comma 27" xfId="682"/>
    <cellStyle name="Comma 28" xfId="683"/>
    <cellStyle name="Comma 29" xfId="684"/>
    <cellStyle name="Comma 29 2" xfId="685"/>
    <cellStyle name="Comma 3" xfId="686"/>
    <cellStyle name="Comma 3 2" xfId="687"/>
    <cellStyle name="Comma 3 2 2" xfId="688"/>
    <cellStyle name="Comma 3 3" xfId="689"/>
    <cellStyle name="Comma 3 4" xfId="690"/>
    <cellStyle name="Comma 3 5" xfId="691"/>
    <cellStyle name="Comma 30" xfId="692"/>
    <cellStyle name="Comma 31" xfId="693"/>
    <cellStyle name="Comma 32" xfId="694"/>
    <cellStyle name="Comma 4" xfId="695"/>
    <cellStyle name="Comma 4 10" xfId="696"/>
    <cellStyle name="Comma 4 11" xfId="697"/>
    <cellStyle name="Comma 4 12" xfId="698"/>
    <cellStyle name="Comma 4 13" xfId="699"/>
    <cellStyle name="Comma 4 2" xfId="700"/>
    <cellStyle name="Comma 4 2 2" xfId="701"/>
    <cellStyle name="Comma 4 2 2 10" xfId="702"/>
    <cellStyle name="Comma 4 2 2 2" xfId="703"/>
    <cellStyle name="Comma 4 2 2 2 2" xfId="704"/>
    <cellStyle name="Comma 4 2 2 2 2 2" xfId="705"/>
    <cellStyle name="Comma 4 2 2 2 2 2 2" xfId="706"/>
    <cellStyle name="Comma 4 2 2 2 2 2 2 2" xfId="707"/>
    <cellStyle name="Comma 4 2 2 2 2 2 3" xfId="708"/>
    <cellStyle name="Comma 4 2 2 2 2 2 3 2" xfId="709"/>
    <cellStyle name="Comma 4 2 2 2 2 2 4" xfId="710"/>
    <cellStyle name="Comma 4 2 2 2 2 3" xfId="711"/>
    <cellStyle name="Comma 4 2 2 2 2 3 2" xfId="712"/>
    <cellStyle name="Comma 4 2 2 2 2 4" xfId="713"/>
    <cellStyle name="Comma 4 2 2 2 2 4 2" xfId="714"/>
    <cellStyle name="Comma 4 2 2 2 2 5" xfId="715"/>
    <cellStyle name="Comma 4 2 2 2 3" xfId="716"/>
    <cellStyle name="Comma 4 2 2 2 3 2" xfId="717"/>
    <cellStyle name="Comma 4 2 2 2 3 2 2" xfId="718"/>
    <cellStyle name="Comma 4 2 2 2 3 3" xfId="719"/>
    <cellStyle name="Comma 4 2 2 2 3 3 2" xfId="720"/>
    <cellStyle name="Comma 4 2 2 2 3 4" xfId="721"/>
    <cellStyle name="Comma 4 2 2 2 4" xfId="722"/>
    <cellStyle name="Comma 4 2 2 2 4 2" xfId="723"/>
    <cellStyle name="Comma 4 2 2 2 5" xfId="724"/>
    <cellStyle name="Comma 4 2 2 2 5 2" xfId="725"/>
    <cellStyle name="Comma 4 2 2 2 6" xfId="726"/>
    <cellStyle name="Comma 4 2 2 3" xfId="727"/>
    <cellStyle name="Comma 4 2 2 3 2" xfId="728"/>
    <cellStyle name="Comma 4 2 2 3 2 2" xfId="729"/>
    <cellStyle name="Comma 4 2 2 3 2 2 2" xfId="730"/>
    <cellStyle name="Comma 4 2 2 3 2 2 2 2" xfId="731"/>
    <cellStyle name="Comma 4 2 2 3 2 2 3" xfId="732"/>
    <cellStyle name="Comma 4 2 2 3 2 2 3 2" xfId="733"/>
    <cellStyle name="Comma 4 2 2 3 2 2 4" xfId="734"/>
    <cellStyle name="Comma 4 2 2 3 2 3" xfId="735"/>
    <cellStyle name="Comma 4 2 2 3 2 3 2" xfId="736"/>
    <cellStyle name="Comma 4 2 2 3 2 4" xfId="737"/>
    <cellStyle name="Comma 4 2 2 3 2 4 2" xfId="738"/>
    <cellStyle name="Comma 4 2 2 3 2 5" xfId="739"/>
    <cellStyle name="Comma 4 2 2 3 3" xfId="740"/>
    <cellStyle name="Comma 4 2 2 3 3 2" xfId="741"/>
    <cellStyle name="Comma 4 2 2 3 3 2 2" xfId="742"/>
    <cellStyle name="Comma 4 2 2 3 3 3" xfId="743"/>
    <cellStyle name="Comma 4 2 2 3 3 3 2" xfId="744"/>
    <cellStyle name="Comma 4 2 2 3 3 4" xfId="745"/>
    <cellStyle name="Comma 4 2 2 3 4" xfId="746"/>
    <cellStyle name="Comma 4 2 2 3 4 2" xfId="747"/>
    <cellStyle name="Comma 4 2 2 3 5" xfId="748"/>
    <cellStyle name="Comma 4 2 2 3 5 2" xfId="749"/>
    <cellStyle name="Comma 4 2 2 3 6" xfId="750"/>
    <cellStyle name="Comma 4 2 2 4" xfId="751"/>
    <cellStyle name="Comma 4 2 2 4 2" xfId="752"/>
    <cellStyle name="Comma 4 2 2 4 2 2" xfId="753"/>
    <cellStyle name="Comma 4 2 2 4 2 2 2" xfId="754"/>
    <cellStyle name="Comma 4 2 2 4 2 3" xfId="755"/>
    <cellStyle name="Comma 4 2 2 4 2 3 2" xfId="756"/>
    <cellStyle name="Comma 4 2 2 4 2 4" xfId="757"/>
    <cellStyle name="Comma 4 2 2 4 3" xfId="758"/>
    <cellStyle name="Comma 4 2 2 4 3 2" xfId="759"/>
    <cellStyle name="Comma 4 2 2 4 4" xfId="760"/>
    <cellStyle name="Comma 4 2 2 4 4 2" xfId="761"/>
    <cellStyle name="Comma 4 2 2 4 5" xfId="762"/>
    <cellStyle name="Comma 4 2 2 5" xfId="763"/>
    <cellStyle name="Comma 4 2 2 5 2" xfId="764"/>
    <cellStyle name="Comma 4 2 2 5 2 2" xfId="765"/>
    <cellStyle name="Comma 4 2 2 5 3" xfId="766"/>
    <cellStyle name="Comma 4 2 2 5 3 2" xfId="767"/>
    <cellStyle name="Comma 4 2 2 5 4" xfId="768"/>
    <cellStyle name="Comma 4 2 2 6" xfId="769"/>
    <cellStyle name="Comma 4 2 2 6 2" xfId="770"/>
    <cellStyle name="Comma 4 2 2 7" xfId="771"/>
    <cellStyle name="Comma 4 2 2 7 2" xfId="772"/>
    <cellStyle name="Comma 4 2 2 8" xfId="773"/>
    <cellStyle name="Comma 4 2 2 9" xfId="774"/>
    <cellStyle name="Comma 4 2 3" xfId="775"/>
    <cellStyle name="Comma 4 2 3 2" xfId="776"/>
    <cellStyle name="Comma 4 2 3 2 2" xfId="777"/>
    <cellStyle name="Comma 4 2 3 2 2 2" xfId="778"/>
    <cellStyle name="Comma 4 2 3 2 2 2 2" xfId="779"/>
    <cellStyle name="Comma 4 2 3 2 2 3" xfId="780"/>
    <cellStyle name="Comma 4 2 3 2 2 3 2" xfId="781"/>
    <cellStyle name="Comma 4 2 3 2 2 4" xfId="782"/>
    <cellStyle name="Comma 4 2 3 2 3" xfId="783"/>
    <cellStyle name="Comma 4 2 3 2 3 2" xfId="784"/>
    <cellStyle name="Comma 4 2 3 2 4" xfId="785"/>
    <cellStyle name="Comma 4 2 3 2 4 2" xfId="786"/>
    <cellStyle name="Comma 4 2 3 2 5" xfId="787"/>
    <cellStyle name="Comma 4 2 3 3" xfId="788"/>
    <cellStyle name="Comma 4 2 3 3 2" xfId="789"/>
    <cellStyle name="Comma 4 2 3 3 2 2" xfId="790"/>
    <cellStyle name="Comma 4 2 3 3 3" xfId="791"/>
    <cellStyle name="Comma 4 2 3 3 3 2" xfId="792"/>
    <cellStyle name="Comma 4 2 3 3 4" xfId="793"/>
    <cellStyle name="Comma 4 2 3 4" xfId="794"/>
    <cellStyle name="Comma 4 2 3 4 2" xfId="795"/>
    <cellStyle name="Comma 4 2 3 5" xfId="796"/>
    <cellStyle name="Comma 4 2 3 5 2" xfId="797"/>
    <cellStyle name="Comma 4 2 3 6" xfId="798"/>
    <cellStyle name="Comma 4 2 3 7" xfId="799"/>
    <cellStyle name="Comma 4 2 4" xfId="800"/>
    <cellStyle name="Comma 4 2 4 2" xfId="801"/>
    <cellStyle name="Comma 4 2 4 2 2" xfId="802"/>
    <cellStyle name="Comma 4 2 4 2 2 2" xfId="803"/>
    <cellStyle name="Comma 4 2 4 2 2 2 2" xfId="804"/>
    <cellStyle name="Comma 4 2 4 2 2 3" xfId="805"/>
    <cellStyle name="Comma 4 2 4 2 2 3 2" xfId="806"/>
    <cellStyle name="Comma 4 2 4 2 2 4" xfId="807"/>
    <cellStyle name="Comma 4 2 4 2 3" xfId="808"/>
    <cellStyle name="Comma 4 2 4 2 3 2" xfId="809"/>
    <cellStyle name="Comma 4 2 4 2 4" xfId="810"/>
    <cellStyle name="Comma 4 2 4 2 4 2" xfId="811"/>
    <cellStyle name="Comma 4 2 4 2 5" xfId="812"/>
    <cellStyle name="Comma 4 2 4 3" xfId="813"/>
    <cellStyle name="Comma 4 2 4 3 2" xfId="814"/>
    <cellStyle name="Comma 4 2 4 3 2 2" xfId="815"/>
    <cellStyle name="Comma 4 2 4 3 3" xfId="816"/>
    <cellStyle name="Comma 4 2 4 3 3 2" xfId="817"/>
    <cellStyle name="Comma 4 2 4 3 4" xfId="818"/>
    <cellStyle name="Comma 4 2 4 4" xfId="819"/>
    <cellStyle name="Comma 4 2 4 4 2" xfId="820"/>
    <cellStyle name="Comma 4 2 4 5" xfId="821"/>
    <cellStyle name="Comma 4 2 4 5 2" xfId="822"/>
    <cellStyle name="Comma 4 2 4 6" xfId="823"/>
    <cellStyle name="Comma 4 2 4 7" xfId="824"/>
    <cellStyle name="Comma 4 2 5" xfId="825"/>
    <cellStyle name="Comma 4 2 5 2" xfId="826"/>
    <cellStyle name="Comma 4 2 5 2 2" xfId="827"/>
    <cellStyle name="Comma 4 2 5 2 2 2" xfId="828"/>
    <cellStyle name="Comma 4 2 5 2 3" xfId="829"/>
    <cellStyle name="Comma 4 2 5 2 3 2" xfId="830"/>
    <cellStyle name="Comma 4 2 5 2 4" xfId="831"/>
    <cellStyle name="Comma 4 2 5 3" xfId="832"/>
    <cellStyle name="Comma 4 2 5 3 2" xfId="833"/>
    <cellStyle name="Comma 4 2 5 4" xfId="834"/>
    <cellStyle name="Comma 4 2 5 4 2" xfId="835"/>
    <cellStyle name="Comma 4 2 5 5" xfId="836"/>
    <cellStyle name="Comma 4 2 5 6" xfId="837"/>
    <cellStyle name="Comma 4 2 6" xfId="838"/>
    <cellStyle name="Comma 4 2 6 2" xfId="839"/>
    <cellStyle name="Comma 4 2 6 2 2" xfId="840"/>
    <cellStyle name="Comma 4 2 6 3" xfId="841"/>
    <cellStyle name="Comma 4 2 6 3 2" xfId="842"/>
    <cellStyle name="Comma 4 2 6 4" xfId="843"/>
    <cellStyle name="Comma 4 2 7" xfId="844"/>
    <cellStyle name="Comma 4 2 7 2" xfId="845"/>
    <cellStyle name="Comma 4 2 8" xfId="846"/>
    <cellStyle name="Comma 4 2 8 2" xfId="847"/>
    <cellStyle name="Comma 4 2 9" xfId="848"/>
    <cellStyle name="Comma 4 3" xfId="849"/>
    <cellStyle name="Comma 4 3 10" xfId="850"/>
    <cellStyle name="Comma 4 3 2" xfId="851"/>
    <cellStyle name="Comma 4 3 2 2" xfId="852"/>
    <cellStyle name="Comma 4 3 2 2 2" xfId="853"/>
    <cellStyle name="Comma 4 3 2 2 2 2" xfId="854"/>
    <cellStyle name="Comma 4 3 2 2 2 2 2" xfId="855"/>
    <cellStyle name="Comma 4 3 2 2 2 3" xfId="856"/>
    <cellStyle name="Comma 4 3 2 2 2 3 2" xfId="857"/>
    <cellStyle name="Comma 4 3 2 2 2 4" xfId="858"/>
    <cellStyle name="Comma 4 3 2 2 3" xfId="859"/>
    <cellStyle name="Comma 4 3 2 2 3 2" xfId="860"/>
    <cellStyle name="Comma 4 3 2 2 4" xfId="861"/>
    <cellStyle name="Comma 4 3 2 2 4 2" xfId="862"/>
    <cellStyle name="Comma 4 3 2 2 5" xfId="863"/>
    <cellStyle name="Comma 4 3 2 3" xfId="864"/>
    <cellStyle name="Comma 4 3 2 3 2" xfId="865"/>
    <cellStyle name="Comma 4 3 2 3 2 2" xfId="866"/>
    <cellStyle name="Comma 4 3 2 3 3" xfId="867"/>
    <cellStyle name="Comma 4 3 2 3 3 2" xfId="868"/>
    <cellStyle name="Comma 4 3 2 3 4" xfId="869"/>
    <cellStyle name="Comma 4 3 2 4" xfId="870"/>
    <cellStyle name="Comma 4 3 2 4 2" xfId="871"/>
    <cellStyle name="Comma 4 3 2 5" xfId="872"/>
    <cellStyle name="Comma 4 3 2 5 2" xfId="873"/>
    <cellStyle name="Comma 4 3 2 6" xfId="874"/>
    <cellStyle name="Comma 4 3 2 7" xfId="875"/>
    <cellStyle name="Comma 4 3 2 8" xfId="876"/>
    <cellStyle name="Comma 4 3 3" xfId="877"/>
    <cellStyle name="Comma 4 3 3 2" xfId="878"/>
    <cellStyle name="Comma 4 3 3 2 2" xfId="879"/>
    <cellStyle name="Comma 4 3 3 2 2 2" xfId="880"/>
    <cellStyle name="Comma 4 3 3 2 2 2 2" xfId="881"/>
    <cellStyle name="Comma 4 3 3 2 2 3" xfId="882"/>
    <cellStyle name="Comma 4 3 3 2 2 3 2" xfId="883"/>
    <cellStyle name="Comma 4 3 3 2 2 4" xfId="884"/>
    <cellStyle name="Comma 4 3 3 2 3" xfId="885"/>
    <cellStyle name="Comma 4 3 3 2 3 2" xfId="886"/>
    <cellStyle name="Comma 4 3 3 2 4" xfId="887"/>
    <cellStyle name="Comma 4 3 3 2 4 2" xfId="888"/>
    <cellStyle name="Comma 4 3 3 2 5" xfId="889"/>
    <cellStyle name="Comma 4 3 3 3" xfId="890"/>
    <cellStyle name="Comma 4 3 3 3 2" xfId="891"/>
    <cellStyle name="Comma 4 3 3 3 2 2" xfId="892"/>
    <cellStyle name="Comma 4 3 3 3 3" xfId="893"/>
    <cellStyle name="Comma 4 3 3 3 3 2" xfId="894"/>
    <cellStyle name="Comma 4 3 3 3 4" xfId="895"/>
    <cellStyle name="Comma 4 3 3 4" xfId="896"/>
    <cellStyle name="Comma 4 3 3 4 2" xfId="897"/>
    <cellStyle name="Comma 4 3 3 5" xfId="898"/>
    <cellStyle name="Comma 4 3 3 5 2" xfId="899"/>
    <cellStyle name="Comma 4 3 3 6" xfId="900"/>
    <cellStyle name="Comma 4 3 3 7" xfId="901"/>
    <cellStyle name="Comma 4 3 4" xfId="902"/>
    <cellStyle name="Comma 4 3 4 2" xfId="903"/>
    <cellStyle name="Comma 4 3 4 2 2" xfId="904"/>
    <cellStyle name="Comma 4 3 4 2 2 2" xfId="905"/>
    <cellStyle name="Comma 4 3 4 2 3" xfId="906"/>
    <cellStyle name="Comma 4 3 4 2 3 2" xfId="907"/>
    <cellStyle name="Comma 4 3 4 2 4" xfId="908"/>
    <cellStyle name="Comma 4 3 4 3" xfId="909"/>
    <cellStyle name="Comma 4 3 4 3 2" xfId="910"/>
    <cellStyle name="Comma 4 3 4 4" xfId="911"/>
    <cellStyle name="Comma 4 3 4 4 2" xfId="912"/>
    <cellStyle name="Comma 4 3 4 5" xfId="913"/>
    <cellStyle name="Comma 4 3 5" xfId="914"/>
    <cellStyle name="Comma 4 3 5 2" xfId="915"/>
    <cellStyle name="Comma 4 3 5 2 2" xfId="916"/>
    <cellStyle name="Comma 4 3 5 3" xfId="917"/>
    <cellStyle name="Comma 4 3 5 3 2" xfId="918"/>
    <cellStyle name="Comma 4 3 5 4" xfId="919"/>
    <cellStyle name="Comma 4 3 6" xfId="920"/>
    <cellStyle name="Comma 4 3 6 2" xfId="921"/>
    <cellStyle name="Comma 4 3 7" xfId="922"/>
    <cellStyle name="Comma 4 3 7 2" xfId="923"/>
    <cellStyle name="Comma 4 3 8" xfId="924"/>
    <cellStyle name="Comma 4 3 9" xfId="925"/>
    <cellStyle name="Comma 4 4" xfId="926"/>
    <cellStyle name="Comma 4 4 10" xfId="927"/>
    <cellStyle name="Comma 4 4 2" xfId="928"/>
    <cellStyle name="Comma 4 4 2 2" xfId="929"/>
    <cellStyle name="Comma 4 4 2 2 2" xfId="930"/>
    <cellStyle name="Comma 4 4 2 2 2 2" xfId="931"/>
    <cellStyle name="Comma 4 4 2 2 2 2 2" xfId="932"/>
    <cellStyle name="Comma 4 4 2 2 2 3" xfId="933"/>
    <cellStyle name="Comma 4 4 2 2 2 3 2" xfId="934"/>
    <cellStyle name="Comma 4 4 2 2 2 4" xfId="935"/>
    <cellStyle name="Comma 4 4 2 2 3" xfId="936"/>
    <cellStyle name="Comma 4 4 2 2 3 2" xfId="937"/>
    <cellStyle name="Comma 4 4 2 2 4" xfId="938"/>
    <cellStyle name="Comma 4 4 2 2 4 2" xfId="939"/>
    <cellStyle name="Comma 4 4 2 2 5" xfId="940"/>
    <cellStyle name="Comma 4 4 2 3" xfId="941"/>
    <cellStyle name="Comma 4 4 2 3 2" xfId="942"/>
    <cellStyle name="Comma 4 4 2 3 2 2" xfId="943"/>
    <cellStyle name="Comma 4 4 2 3 3" xfId="944"/>
    <cellStyle name="Comma 4 4 2 3 3 2" xfId="945"/>
    <cellStyle name="Comma 4 4 2 3 4" xfId="946"/>
    <cellStyle name="Comma 4 4 2 4" xfId="947"/>
    <cellStyle name="Comma 4 4 2 4 2" xfId="948"/>
    <cellStyle name="Comma 4 4 2 5" xfId="949"/>
    <cellStyle name="Comma 4 4 2 5 2" xfId="950"/>
    <cellStyle name="Comma 4 4 2 6" xfId="951"/>
    <cellStyle name="Comma 4 4 2 7" xfId="952"/>
    <cellStyle name="Comma 4 4 3" xfId="953"/>
    <cellStyle name="Comma 4 4 3 2" xfId="954"/>
    <cellStyle name="Comma 4 4 3 2 2" xfId="955"/>
    <cellStyle name="Comma 4 4 3 2 2 2" xfId="956"/>
    <cellStyle name="Comma 4 4 3 2 3" xfId="957"/>
    <cellStyle name="Comma 4 4 3 2 3 2" xfId="958"/>
    <cellStyle name="Comma 4 4 3 2 4" xfId="959"/>
    <cellStyle name="Comma 4 4 3 3" xfId="960"/>
    <cellStyle name="Comma 4 4 3 3 2" xfId="961"/>
    <cellStyle name="Comma 4 4 3 4" xfId="962"/>
    <cellStyle name="Comma 4 4 3 4 2" xfId="963"/>
    <cellStyle name="Comma 4 4 3 5" xfId="964"/>
    <cellStyle name="Comma 4 4 3 6" xfId="965"/>
    <cellStyle name="Comma 4 4 4" xfId="966"/>
    <cellStyle name="Comma 4 4 4 2" xfId="967"/>
    <cellStyle name="Comma 4 4 4 2 2" xfId="968"/>
    <cellStyle name="Comma 4 4 4 3" xfId="969"/>
    <cellStyle name="Comma 4 4 4 3 2" xfId="970"/>
    <cellStyle name="Comma 4 4 4 4" xfId="971"/>
    <cellStyle name="Comma 4 4 5" xfId="972"/>
    <cellStyle name="Comma 4 4 5 2" xfId="973"/>
    <cellStyle name="Comma 4 4 5 3" xfId="974"/>
    <cellStyle name="Comma 4 4 6" xfId="975"/>
    <cellStyle name="Comma 4 4 6 2" xfId="976"/>
    <cellStyle name="Comma 4 4 7" xfId="977"/>
    <cellStyle name="Comma 4 4 8" xfId="978"/>
    <cellStyle name="Comma 4 4 9" xfId="979"/>
    <cellStyle name="Comma 4 5" xfId="980"/>
    <cellStyle name="Comma 4 5 2" xfId="981"/>
    <cellStyle name="Comma 4 5 2 2" xfId="982"/>
    <cellStyle name="Comma 4 5 2 2 2" xfId="983"/>
    <cellStyle name="Comma 4 5 2 2 2 2" xfId="984"/>
    <cellStyle name="Comma 4 5 2 2 3" xfId="985"/>
    <cellStyle name="Comma 4 5 2 2 3 2" xfId="986"/>
    <cellStyle name="Comma 4 5 2 2 4" xfId="987"/>
    <cellStyle name="Comma 4 5 2 3" xfId="988"/>
    <cellStyle name="Comma 4 5 2 3 2" xfId="989"/>
    <cellStyle name="Comma 4 5 2 4" xfId="990"/>
    <cellStyle name="Comma 4 5 2 4 2" xfId="991"/>
    <cellStyle name="Comma 4 5 2 5" xfId="992"/>
    <cellStyle name="Comma 4 5 2 6" xfId="993"/>
    <cellStyle name="Comma 4 5 3" xfId="994"/>
    <cellStyle name="Comma 4 5 3 2" xfId="995"/>
    <cellStyle name="Comma 4 5 3 2 2" xfId="996"/>
    <cellStyle name="Comma 4 5 3 3" xfId="997"/>
    <cellStyle name="Comma 4 5 3 3 2" xfId="998"/>
    <cellStyle name="Comma 4 5 3 4" xfId="999"/>
    <cellStyle name="Comma 4 5 4" xfId="1000"/>
    <cellStyle name="Comma 4 5 4 2" xfId="1001"/>
    <cellStyle name="Comma 4 5 5" xfId="1002"/>
    <cellStyle name="Comma 4 5 5 2" xfId="1003"/>
    <cellStyle name="Comma 4 5 6" xfId="1004"/>
    <cellStyle name="Comma 4 6" xfId="1005"/>
    <cellStyle name="Comma 4 6 2" xfId="1006"/>
    <cellStyle name="Comma 4 6 2 2" xfId="1007"/>
    <cellStyle name="Comma 4 6 2 2 2" xfId="1008"/>
    <cellStyle name="Comma 4 6 2 3" xfId="1009"/>
    <cellStyle name="Comma 4 6 2 3 2" xfId="1010"/>
    <cellStyle name="Comma 4 6 2 4" xfId="1011"/>
    <cellStyle name="Comma 4 6 3" xfId="1012"/>
    <cellStyle name="Comma 4 6 3 2" xfId="1013"/>
    <cellStyle name="Comma 4 6 4" xfId="1014"/>
    <cellStyle name="Comma 4 6 4 2" xfId="1015"/>
    <cellStyle name="Comma 4 6 5" xfId="1016"/>
    <cellStyle name="Comma 4 6 6" xfId="1017"/>
    <cellStyle name="Comma 4 7" xfId="1018"/>
    <cellStyle name="Comma 4 7 2" xfId="1019"/>
    <cellStyle name="Comma 4 7 2 2" xfId="1020"/>
    <cellStyle name="Comma 4 7 3" xfId="1021"/>
    <cellStyle name="Comma 4 7 3 2" xfId="1022"/>
    <cellStyle name="Comma 4 7 4" xfId="1023"/>
    <cellStyle name="Comma 4 8" xfId="1024"/>
    <cellStyle name="Comma 4 8 2" xfId="1025"/>
    <cellStyle name="Comma 4 9" xfId="1026"/>
    <cellStyle name="Comma 4 9 2" xfId="1027"/>
    <cellStyle name="Comma 5" xfId="1028"/>
    <cellStyle name="Comma 5 10" xfId="1029"/>
    <cellStyle name="Comma 5 2" xfId="1030"/>
    <cellStyle name="Comma 5 2 2" xfId="1031"/>
    <cellStyle name="Comma 5 2 2 2" xfId="1032"/>
    <cellStyle name="Comma 5 2 2 2 2" xfId="1033"/>
    <cellStyle name="Comma 5 2 2 2 2 2" xfId="1034"/>
    <cellStyle name="Comma 5 2 2 2 2 2 2" xfId="1035"/>
    <cellStyle name="Comma 5 2 2 2 2 2 2 2" xfId="1036"/>
    <cellStyle name="Comma 5 2 2 2 2 2 3" xfId="1037"/>
    <cellStyle name="Comma 5 2 2 2 2 2 3 2" xfId="1038"/>
    <cellStyle name="Comma 5 2 2 2 2 2 4" xfId="1039"/>
    <cellStyle name="Comma 5 2 2 2 2 3" xfId="1040"/>
    <cellStyle name="Comma 5 2 2 2 2 3 2" xfId="1041"/>
    <cellStyle name="Comma 5 2 2 2 2 4" xfId="1042"/>
    <cellStyle name="Comma 5 2 2 2 2 4 2" xfId="1043"/>
    <cellStyle name="Comma 5 2 2 2 2 5" xfId="1044"/>
    <cellStyle name="Comma 5 2 2 2 3" xfId="1045"/>
    <cellStyle name="Comma 5 2 2 2 3 2" xfId="1046"/>
    <cellStyle name="Comma 5 2 2 2 3 2 2" xfId="1047"/>
    <cellStyle name="Comma 5 2 2 2 3 3" xfId="1048"/>
    <cellStyle name="Comma 5 2 2 2 3 3 2" xfId="1049"/>
    <cellStyle name="Comma 5 2 2 2 3 4" xfId="1050"/>
    <cellStyle name="Comma 5 2 2 2 4" xfId="1051"/>
    <cellStyle name="Comma 5 2 2 2 4 2" xfId="1052"/>
    <cellStyle name="Comma 5 2 2 2 5" xfId="1053"/>
    <cellStyle name="Comma 5 2 2 2 5 2" xfId="1054"/>
    <cellStyle name="Comma 5 2 2 2 6" xfId="1055"/>
    <cellStyle name="Comma 5 2 2 3" xfId="1056"/>
    <cellStyle name="Comma 5 2 2 3 2" xfId="1057"/>
    <cellStyle name="Comma 5 2 2 3 2 2" xfId="1058"/>
    <cellStyle name="Comma 5 2 2 3 2 2 2" xfId="1059"/>
    <cellStyle name="Comma 5 2 2 3 2 3" xfId="1060"/>
    <cellStyle name="Comma 5 2 2 3 2 3 2" xfId="1061"/>
    <cellStyle name="Comma 5 2 2 3 2 4" xfId="1062"/>
    <cellStyle name="Comma 5 2 2 3 3" xfId="1063"/>
    <cellStyle name="Comma 5 2 2 3 3 2" xfId="1064"/>
    <cellStyle name="Comma 5 2 2 3 4" xfId="1065"/>
    <cellStyle name="Comma 5 2 2 3 4 2" xfId="1066"/>
    <cellStyle name="Comma 5 2 2 3 5" xfId="1067"/>
    <cellStyle name="Comma 5 2 2 4" xfId="1068"/>
    <cellStyle name="Comma 5 2 2 4 2" xfId="1069"/>
    <cellStyle name="Comma 5 2 2 4 2 2" xfId="1070"/>
    <cellStyle name="Comma 5 2 2 4 3" xfId="1071"/>
    <cellStyle name="Comma 5 2 2 4 3 2" xfId="1072"/>
    <cellStyle name="Comma 5 2 2 4 4" xfId="1073"/>
    <cellStyle name="Comma 5 2 2 5" xfId="1074"/>
    <cellStyle name="Comma 5 2 2 5 2" xfId="1075"/>
    <cellStyle name="Comma 5 2 2 6" xfId="1076"/>
    <cellStyle name="Comma 5 2 2 6 2" xfId="1077"/>
    <cellStyle name="Comma 5 2 2 7" xfId="1078"/>
    <cellStyle name="Comma 5 2 2 8" xfId="1079"/>
    <cellStyle name="Comma 5 2 3" xfId="1080"/>
    <cellStyle name="Comma 5 2 3 2" xfId="1081"/>
    <cellStyle name="Comma 5 2 3 2 2" xfId="1082"/>
    <cellStyle name="Comma 5 2 3 2 2 2" xfId="1083"/>
    <cellStyle name="Comma 5 2 3 2 2 2 2" xfId="1084"/>
    <cellStyle name="Comma 5 2 3 2 2 3" xfId="1085"/>
    <cellStyle name="Comma 5 2 3 2 2 3 2" xfId="1086"/>
    <cellStyle name="Comma 5 2 3 2 2 4" xfId="1087"/>
    <cellStyle name="Comma 5 2 3 2 3" xfId="1088"/>
    <cellStyle name="Comma 5 2 3 2 3 2" xfId="1089"/>
    <cellStyle name="Comma 5 2 3 2 4" xfId="1090"/>
    <cellStyle name="Comma 5 2 3 2 4 2" xfId="1091"/>
    <cellStyle name="Comma 5 2 3 2 5" xfId="1092"/>
    <cellStyle name="Comma 5 2 3 3" xfId="1093"/>
    <cellStyle name="Comma 5 2 3 3 2" xfId="1094"/>
    <cellStyle name="Comma 5 2 3 3 2 2" xfId="1095"/>
    <cellStyle name="Comma 5 2 3 3 3" xfId="1096"/>
    <cellStyle name="Comma 5 2 3 3 3 2" xfId="1097"/>
    <cellStyle name="Comma 5 2 3 3 4" xfId="1098"/>
    <cellStyle name="Comma 5 2 3 4" xfId="1099"/>
    <cellStyle name="Comma 5 2 3 4 2" xfId="1100"/>
    <cellStyle name="Comma 5 2 3 5" xfId="1101"/>
    <cellStyle name="Comma 5 2 3 5 2" xfId="1102"/>
    <cellStyle name="Comma 5 2 3 6" xfId="1103"/>
    <cellStyle name="Comma 5 2 4" xfId="1104"/>
    <cellStyle name="Comma 5 2 4 2" xfId="1105"/>
    <cellStyle name="Comma 5 2 4 2 2" xfId="1106"/>
    <cellStyle name="Comma 5 2 4 2 2 2" xfId="1107"/>
    <cellStyle name="Comma 5 2 4 2 3" xfId="1108"/>
    <cellStyle name="Comma 5 2 4 2 3 2" xfId="1109"/>
    <cellStyle name="Comma 5 2 4 2 4" xfId="1110"/>
    <cellStyle name="Comma 5 2 4 3" xfId="1111"/>
    <cellStyle name="Comma 5 2 4 3 2" xfId="1112"/>
    <cellStyle name="Comma 5 2 4 4" xfId="1113"/>
    <cellStyle name="Comma 5 2 4 4 2" xfId="1114"/>
    <cellStyle name="Comma 5 2 4 5" xfId="1115"/>
    <cellStyle name="Comma 5 2 5" xfId="1116"/>
    <cellStyle name="Comma 5 2 5 2" xfId="1117"/>
    <cellStyle name="Comma 5 2 5 2 2" xfId="1118"/>
    <cellStyle name="Comma 5 2 5 3" xfId="1119"/>
    <cellStyle name="Comma 5 2 5 3 2" xfId="1120"/>
    <cellStyle name="Comma 5 2 5 4" xfId="1121"/>
    <cellStyle name="Comma 5 2 6" xfId="1122"/>
    <cellStyle name="Comma 5 2 6 2" xfId="1123"/>
    <cellStyle name="Comma 5 2 7" xfId="1124"/>
    <cellStyle name="Comma 5 2 7 2" xfId="1125"/>
    <cellStyle name="Comma 5 2 8" xfId="1126"/>
    <cellStyle name="Comma 5 2 9" xfId="1127"/>
    <cellStyle name="Comma 5 3" xfId="1128"/>
    <cellStyle name="Comma 5 3 2" xfId="1129"/>
    <cellStyle name="Comma 5 3 2 2" xfId="1130"/>
    <cellStyle name="Comma 5 3 2 2 2" xfId="1131"/>
    <cellStyle name="Comma 5 3 2 2 2 2" xfId="1132"/>
    <cellStyle name="Comma 5 3 2 2 2 2 2" xfId="1133"/>
    <cellStyle name="Comma 5 3 2 2 2 3" xfId="1134"/>
    <cellStyle name="Comma 5 3 2 2 2 3 2" xfId="1135"/>
    <cellStyle name="Comma 5 3 2 2 2 4" xfId="1136"/>
    <cellStyle name="Comma 5 3 2 2 3" xfId="1137"/>
    <cellStyle name="Comma 5 3 2 2 3 2" xfId="1138"/>
    <cellStyle name="Comma 5 3 2 2 4" xfId="1139"/>
    <cellStyle name="Comma 5 3 2 2 4 2" xfId="1140"/>
    <cellStyle name="Comma 5 3 2 2 5" xfId="1141"/>
    <cellStyle name="Comma 5 3 2 3" xfId="1142"/>
    <cellStyle name="Comma 5 3 2 3 2" xfId="1143"/>
    <cellStyle name="Comma 5 3 2 3 2 2" xfId="1144"/>
    <cellStyle name="Comma 5 3 2 3 3" xfId="1145"/>
    <cellStyle name="Comma 5 3 2 3 3 2" xfId="1146"/>
    <cellStyle name="Comma 5 3 2 3 4" xfId="1147"/>
    <cellStyle name="Comma 5 3 2 4" xfId="1148"/>
    <cellStyle name="Comma 5 3 2 4 2" xfId="1149"/>
    <cellStyle name="Comma 5 3 2 5" xfId="1150"/>
    <cellStyle name="Comma 5 3 2 5 2" xfId="1151"/>
    <cellStyle name="Comma 5 3 2 6" xfId="1152"/>
    <cellStyle name="Comma 5 3 3" xfId="1153"/>
    <cellStyle name="Comma 5 3 3 2" xfId="1154"/>
    <cellStyle name="Comma 5 3 3 2 2" xfId="1155"/>
    <cellStyle name="Comma 5 3 3 2 2 2" xfId="1156"/>
    <cellStyle name="Comma 5 3 3 2 3" xfId="1157"/>
    <cellStyle name="Comma 5 3 3 2 3 2" xfId="1158"/>
    <cellStyle name="Comma 5 3 3 2 4" xfId="1159"/>
    <cellStyle name="Comma 5 3 3 3" xfId="1160"/>
    <cellStyle name="Comma 5 3 3 3 2" xfId="1161"/>
    <cellStyle name="Comma 5 3 3 4" xfId="1162"/>
    <cellStyle name="Comma 5 3 3 4 2" xfId="1163"/>
    <cellStyle name="Comma 5 3 3 5" xfId="1164"/>
    <cellStyle name="Comma 5 3 4" xfId="1165"/>
    <cellStyle name="Comma 5 3 4 2" xfId="1166"/>
    <cellStyle name="Comma 5 3 4 2 2" xfId="1167"/>
    <cellStyle name="Comma 5 3 4 3" xfId="1168"/>
    <cellStyle name="Comma 5 3 4 3 2" xfId="1169"/>
    <cellStyle name="Comma 5 3 4 4" xfId="1170"/>
    <cellStyle name="Comma 5 3 5" xfId="1171"/>
    <cellStyle name="Comma 5 3 5 2" xfId="1172"/>
    <cellStyle name="Comma 5 3 6" xfId="1173"/>
    <cellStyle name="Comma 5 3 6 2" xfId="1174"/>
    <cellStyle name="Comma 5 3 7" xfId="1175"/>
    <cellStyle name="Comma 5 3 8" xfId="1176"/>
    <cellStyle name="Comma 5 4" xfId="1177"/>
    <cellStyle name="Comma 5 4 2" xfId="1178"/>
    <cellStyle name="Comma 5 4 2 2" xfId="1179"/>
    <cellStyle name="Comma 5 4 2 2 2" xfId="1180"/>
    <cellStyle name="Comma 5 4 2 2 2 2" xfId="1181"/>
    <cellStyle name="Comma 5 4 2 2 2 2 2" xfId="1182"/>
    <cellStyle name="Comma 5 4 2 2 2 3" xfId="1183"/>
    <cellStyle name="Comma 5 4 2 2 2 3 2" xfId="1184"/>
    <cellStyle name="Comma 5 4 2 2 2 4" xfId="1185"/>
    <cellStyle name="Comma 5 4 2 2 3" xfId="1186"/>
    <cellStyle name="Comma 5 4 2 2 3 2" xfId="1187"/>
    <cellStyle name="Comma 5 4 2 2 4" xfId="1188"/>
    <cellStyle name="Comma 5 4 2 2 4 2" xfId="1189"/>
    <cellStyle name="Comma 5 4 2 2 5" xfId="1190"/>
    <cellStyle name="Comma 5 4 2 3" xfId="1191"/>
    <cellStyle name="Comma 5 4 2 3 2" xfId="1192"/>
    <cellStyle name="Comma 5 4 2 3 2 2" xfId="1193"/>
    <cellStyle name="Comma 5 4 2 3 3" xfId="1194"/>
    <cellStyle name="Comma 5 4 2 3 3 2" xfId="1195"/>
    <cellStyle name="Comma 5 4 2 3 4" xfId="1196"/>
    <cellStyle name="Comma 5 4 2 4" xfId="1197"/>
    <cellStyle name="Comma 5 4 2 4 2" xfId="1198"/>
    <cellStyle name="Comma 5 4 2 5" xfId="1199"/>
    <cellStyle name="Comma 5 4 2 5 2" xfId="1200"/>
    <cellStyle name="Comma 5 4 2 6" xfId="1201"/>
    <cellStyle name="Comma 5 4 3" xfId="1202"/>
    <cellStyle name="Comma 5 4 3 2" xfId="1203"/>
    <cellStyle name="Comma 5 4 3 2 2" xfId="1204"/>
    <cellStyle name="Comma 5 4 3 2 2 2" xfId="1205"/>
    <cellStyle name="Comma 5 4 3 2 3" xfId="1206"/>
    <cellStyle name="Comma 5 4 3 2 3 2" xfId="1207"/>
    <cellStyle name="Comma 5 4 3 2 4" xfId="1208"/>
    <cellStyle name="Comma 5 4 3 3" xfId="1209"/>
    <cellStyle name="Comma 5 4 3 3 2" xfId="1210"/>
    <cellStyle name="Comma 5 4 3 4" xfId="1211"/>
    <cellStyle name="Comma 5 4 3 4 2" xfId="1212"/>
    <cellStyle name="Comma 5 4 3 5" xfId="1213"/>
    <cellStyle name="Comma 5 4 4" xfId="1214"/>
    <cellStyle name="Comma 5 4 4 2" xfId="1215"/>
    <cellStyle name="Comma 5 4 4 2 2" xfId="1216"/>
    <cellStyle name="Comma 5 4 4 3" xfId="1217"/>
    <cellStyle name="Comma 5 4 4 3 2" xfId="1218"/>
    <cellStyle name="Comma 5 4 4 4" xfId="1219"/>
    <cellStyle name="Comma 5 4 5" xfId="1220"/>
    <cellStyle name="Comma 5 4 5 2" xfId="1221"/>
    <cellStyle name="Comma 5 4 6" xfId="1222"/>
    <cellStyle name="Comma 5 4 6 2" xfId="1223"/>
    <cellStyle name="Comma 5 4 7" xfId="1224"/>
    <cellStyle name="Comma 5 5" xfId="1225"/>
    <cellStyle name="Comma 5 5 2" xfId="1226"/>
    <cellStyle name="Comma 5 5 2 2" xfId="1227"/>
    <cellStyle name="Comma 5 5 2 2 2" xfId="1228"/>
    <cellStyle name="Comma 5 5 2 2 2 2" xfId="1229"/>
    <cellStyle name="Comma 5 5 2 2 3" xfId="1230"/>
    <cellStyle name="Comma 5 5 2 2 3 2" xfId="1231"/>
    <cellStyle name="Comma 5 5 2 2 4" xfId="1232"/>
    <cellStyle name="Comma 5 5 2 3" xfId="1233"/>
    <cellStyle name="Comma 5 5 2 3 2" xfId="1234"/>
    <cellStyle name="Comma 5 5 2 4" xfId="1235"/>
    <cellStyle name="Comma 5 5 2 4 2" xfId="1236"/>
    <cellStyle name="Comma 5 5 2 5" xfId="1237"/>
    <cellStyle name="Comma 5 5 3" xfId="1238"/>
    <cellStyle name="Comma 5 5 3 2" xfId="1239"/>
    <cellStyle name="Comma 5 5 3 2 2" xfId="1240"/>
    <cellStyle name="Comma 5 5 3 3" xfId="1241"/>
    <cellStyle name="Comma 5 5 3 3 2" xfId="1242"/>
    <cellStyle name="Comma 5 5 3 4" xfId="1243"/>
    <cellStyle name="Comma 5 5 4" xfId="1244"/>
    <cellStyle name="Comma 5 5 4 2" xfId="1245"/>
    <cellStyle name="Comma 5 5 5" xfId="1246"/>
    <cellStyle name="Comma 5 5 5 2" xfId="1247"/>
    <cellStyle name="Comma 5 5 6" xfId="1248"/>
    <cellStyle name="Comma 5 6" xfId="1249"/>
    <cellStyle name="Comma 5 6 2" xfId="1250"/>
    <cellStyle name="Comma 5 6 2 2" xfId="1251"/>
    <cellStyle name="Comma 5 6 2 2 2" xfId="1252"/>
    <cellStyle name="Comma 5 6 2 3" xfId="1253"/>
    <cellStyle name="Comma 5 6 2 3 2" xfId="1254"/>
    <cellStyle name="Comma 5 6 2 4" xfId="1255"/>
    <cellStyle name="Comma 5 6 3" xfId="1256"/>
    <cellStyle name="Comma 5 6 3 2" xfId="1257"/>
    <cellStyle name="Comma 5 6 4" xfId="1258"/>
    <cellStyle name="Comma 5 6 4 2" xfId="1259"/>
    <cellStyle name="Comma 5 6 5" xfId="1260"/>
    <cellStyle name="Comma 5 7" xfId="1261"/>
    <cellStyle name="Comma 5 7 2" xfId="1262"/>
    <cellStyle name="Comma 5 7 2 2" xfId="1263"/>
    <cellStyle name="Comma 5 7 3" xfId="1264"/>
    <cellStyle name="Comma 5 7 3 2" xfId="1265"/>
    <cellStyle name="Comma 5 7 4" xfId="1266"/>
    <cellStyle name="Comma 5 8" xfId="1267"/>
    <cellStyle name="Comma 5 8 2" xfId="1268"/>
    <cellStyle name="Comma 5 9" xfId="1269"/>
    <cellStyle name="Comma 5 9 2" xfId="1270"/>
    <cellStyle name="Comma 6" xfId="1271"/>
    <cellStyle name="Comma 6 10" xfId="1272"/>
    <cellStyle name="Comma 6 2" xfId="1273"/>
    <cellStyle name="Comma 6 2 2" xfId="1274"/>
    <cellStyle name="Comma 6 2 2 2" xfId="1275"/>
    <cellStyle name="Comma 6 2 2 2 2" xfId="1276"/>
    <cellStyle name="Comma 6 2 2 2 2 2" xfId="1277"/>
    <cellStyle name="Comma 6 2 2 2 2 2 2" xfId="1278"/>
    <cellStyle name="Comma 6 2 2 2 2 2 2 2" xfId="1279"/>
    <cellStyle name="Comma 6 2 2 2 2 2 3" xfId="1280"/>
    <cellStyle name="Comma 6 2 2 2 2 2 3 2" xfId="1281"/>
    <cellStyle name="Comma 6 2 2 2 2 2 4" xfId="1282"/>
    <cellStyle name="Comma 6 2 2 2 2 3" xfId="1283"/>
    <cellStyle name="Comma 6 2 2 2 2 3 2" xfId="1284"/>
    <cellStyle name="Comma 6 2 2 2 2 4" xfId="1285"/>
    <cellStyle name="Comma 6 2 2 2 2 4 2" xfId="1286"/>
    <cellStyle name="Comma 6 2 2 2 2 5" xfId="1287"/>
    <cellStyle name="Comma 6 2 2 2 3" xfId="1288"/>
    <cellStyle name="Comma 6 2 2 2 3 2" xfId="1289"/>
    <cellStyle name="Comma 6 2 2 2 3 2 2" xfId="1290"/>
    <cellStyle name="Comma 6 2 2 2 3 3" xfId="1291"/>
    <cellStyle name="Comma 6 2 2 2 3 3 2" xfId="1292"/>
    <cellStyle name="Comma 6 2 2 2 3 4" xfId="1293"/>
    <cellStyle name="Comma 6 2 2 2 4" xfId="1294"/>
    <cellStyle name="Comma 6 2 2 2 4 2" xfId="1295"/>
    <cellStyle name="Comma 6 2 2 2 5" xfId="1296"/>
    <cellStyle name="Comma 6 2 2 2 5 2" xfId="1297"/>
    <cellStyle name="Comma 6 2 2 2 6" xfId="1298"/>
    <cellStyle name="Comma 6 2 2 3" xfId="1299"/>
    <cellStyle name="Comma 6 2 2 3 2" xfId="1300"/>
    <cellStyle name="Comma 6 2 2 3 2 2" xfId="1301"/>
    <cellStyle name="Comma 6 2 2 3 2 2 2" xfId="1302"/>
    <cellStyle name="Comma 6 2 2 3 2 3" xfId="1303"/>
    <cellStyle name="Comma 6 2 2 3 2 3 2" xfId="1304"/>
    <cellStyle name="Comma 6 2 2 3 2 4" xfId="1305"/>
    <cellStyle name="Comma 6 2 2 3 3" xfId="1306"/>
    <cellStyle name="Comma 6 2 2 3 3 2" xfId="1307"/>
    <cellStyle name="Comma 6 2 2 3 4" xfId="1308"/>
    <cellStyle name="Comma 6 2 2 3 4 2" xfId="1309"/>
    <cellStyle name="Comma 6 2 2 3 5" xfId="1310"/>
    <cellStyle name="Comma 6 2 2 4" xfId="1311"/>
    <cellStyle name="Comma 6 2 2 4 2" xfId="1312"/>
    <cellStyle name="Comma 6 2 2 4 2 2" xfId="1313"/>
    <cellStyle name="Comma 6 2 2 4 3" xfId="1314"/>
    <cellStyle name="Comma 6 2 2 4 3 2" xfId="1315"/>
    <cellStyle name="Comma 6 2 2 4 4" xfId="1316"/>
    <cellStyle name="Comma 6 2 2 5" xfId="1317"/>
    <cellStyle name="Comma 6 2 2 5 2" xfId="1318"/>
    <cellStyle name="Comma 6 2 2 6" xfId="1319"/>
    <cellStyle name="Comma 6 2 2 6 2" xfId="1320"/>
    <cellStyle name="Comma 6 2 2 7" xfId="1321"/>
    <cellStyle name="Comma 6 2 3" xfId="1322"/>
    <cellStyle name="Comma 6 2 3 2" xfId="1323"/>
    <cellStyle name="Comma 6 2 3 2 2" xfId="1324"/>
    <cellStyle name="Comma 6 2 3 2 2 2" xfId="1325"/>
    <cellStyle name="Comma 6 2 3 2 2 2 2" xfId="1326"/>
    <cellStyle name="Comma 6 2 3 2 2 3" xfId="1327"/>
    <cellStyle name="Comma 6 2 3 2 2 3 2" xfId="1328"/>
    <cellStyle name="Comma 6 2 3 2 2 4" xfId="1329"/>
    <cellStyle name="Comma 6 2 3 2 3" xfId="1330"/>
    <cellStyle name="Comma 6 2 3 2 3 2" xfId="1331"/>
    <cellStyle name="Comma 6 2 3 2 4" xfId="1332"/>
    <cellStyle name="Comma 6 2 3 2 4 2" xfId="1333"/>
    <cellStyle name="Comma 6 2 3 2 5" xfId="1334"/>
    <cellStyle name="Comma 6 2 3 3" xfId="1335"/>
    <cellStyle name="Comma 6 2 3 3 2" xfId="1336"/>
    <cellStyle name="Comma 6 2 3 3 2 2" xfId="1337"/>
    <cellStyle name="Comma 6 2 3 3 3" xfId="1338"/>
    <cellStyle name="Comma 6 2 3 3 3 2" xfId="1339"/>
    <cellStyle name="Comma 6 2 3 3 4" xfId="1340"/>
    <cellStyle name="Comma 6 2 3 4" xfId="1341"/>
    <cellStyle name="Comma 6 2 3 4 2" xfId="1342"/>
    <cellStyle name="Comma 6 2 3 5" xfId="1343"/>
    <cellStyle name="Comma 6 2 3 5 2" xfId="1344"/>
    <cellStyle name="Comma 6 2 3 6" xfId="1345"/>
    <cellStyle name="Comma 6 2 4" xfId="1346"/>
    <cellStyle name="Comma 6 2 4 2" xfId="1347"/>
    <cellStyle name="Comma 6 2 4 2 2" xfId="1348"/>
    <cellStyle name="Comma 6 2 4 2 2 2" xfId="1349"/>
    <cellStyle name="Comma 6 2 4 2 3" xfId="1350"/>
    <cellStyle name="Comma 6 2 4 2 3 2" xfId="1351"/>
    <cellStyle name="Comma 6 2 4 2 4" xfId="1352"/>
    <cellStyle name="Comma 6 2 4 3" xfId="1353"/>
    <cellStyle name="Comma 6 2 4 3 2" xfId="1354"/>
    <cellStyle name="Comma 6 2 4 4" xfId="1355"/>
    <cellStyle name="Comma 6 2 4 4 2" xfId="1356"/>
    <cellStyle name="Comma 6 2 4 5" xfId="1357"/>
    <cellStyle name="Comma 6 2 5" xfId="1358"/>
    <cellStyle name="Comma 6 2 5 2" xfId="1359"/>
    <cellStyle name="Comma 6 2 5 2 2" xfId="1360"/>
    <cellStyle name="Comma 6 2 5 3" xfId="1361"/>
    <cellStyle name="Comma 6 2 5 3 2" xfId="1362"/>
    <cellStyle name="Comma 6 2 5 4" xfId="1363"/>
    <cellStyle name="Comma 6 2 6" xfId="1364"/>
    <cellStyle name="Comma 6 2 6 2" xfId="1365"/>
    <cellStyle name="Comma 6 2 7" xfId="1366"/>
    <cellStyle name="Comma 6 2 7 2" xfId="1367"/>
    <cellStyle name="Comma 6 2 8" xfId="1368"/>
    <cellStyle name="Comma 6 3" xfId="1369"/>
    <cellStyle name="Comma 6 3 2" xfId="1370"/>
    <cellStyle name="Comma 6 3 2 2" xfId="1371"/>
    <cellStyle name="Comma 6 3 2 2 2" xfId="1372"/>
    <cellStyle name="Comma 6 3 2 2 2 2" xfId="1373"/>
    <cellStyle name="Comma 6 3 2 2 2 2 2" xfId="1374"/>
    <cellStyle name="Comma 6 3 2 2 2 3" xfId="1375"/>
    <cellStyle name="Comma 6 3 2 2 2 3 2" xfId="1376"/>
    <cellStyle name="Comma 6 3 2 2 2 4" xfId="1377"/>
    <cellStyle name="Comma 6 3 2 2 3" xfId="1378"/>
    <cellStyle name="Comma 6 3 2 2 3 2" xfId="1379"/>
    <cellStyle name="Comma 6 3 2 2 4" xfId="1380"/>
    <cellStyle name="Comma 6 3 2 2 4 2" xfId="1381"/>
    <cellStyle name="Comma 6 3 2 2 5" xfId="1382"/>
    <cellStyle name="Comma 6 3 2 3" xfId="1383"/>
    <cellStyle name="Comma 6 3 2 3 2" xfId="1384"/>
    <cellStyle name="Comma 6 3 2 3 2 2" xfId="1385"/>
    <cellStyle name="Comma 6 3 2 3 3" xfId="1386"/>
    <cellStyle name="Comma 6 3 2 3 3 2" xfId="1387"/>
    <cellStyle name="Comma 6 3 2 3 4" xfId="1388"/>
    <cellStyle name="Comma 6 3 2 4" xfId="1389"/>
    <cellStyle name="Comma 6 3 2 4 2" xfId="1390"/>
    <cellStyle name="Comma 6 3 2 5" xfId="1391"/>
    <cellStyle name="Comma 6 3 2 5 2" xfId="1392"/>
    <cellStyle name="Comma 6 3 2 6" xfId="1393"/>
    <cellStyle name="Comma 6 3 3" xfId="1394"/>
    <cellStyle name="Comma 6 3 3 2" xfId="1395"/>
    <cellStyle name="Comma 6 3 3 2 2" xfId="1396"/>
    <cellStyle name="Comma 6 3 3 2 2 2" xfId="1397"/>
    <cellStyle name="Comma 6 3 3 2 3" xfId="1398"/>
    <cellStyle name="Comma 6 3 3 2 3 2" xfId="1399"/>
    <cellStyle name="Comma 6 3 3 2 4" xfId="1400"/>
    <cellStyle name="Comma 6 3 3 3" xfId="1401"/>
    <cellStyle name="Comma 6 3 3 3 2" xfId="1402"/>
    <cellStyle name="Comma 6 3 3 4" xfId="1403"/>
    <cellStyle name="Comma 6 3 3 4 2" xfId="1404"/>
    <cellStyle name="Comma 6 3 3 5" xfId="1405"/>
    <cellStyle name="Comma 6 3 4" xfId="1406"/>
    <cellStyle name="Comma 6 3 4 2" xfId="1407"/>
    <cellStyle name="Comma 6 3 4 2 2" xfId="1408"/>
    <cellStyle name="Comma 6 3 4 3" xfId="1409"/>
    <cellStyle name="Comma 6 3 4 3 2" xfId="1410"/>
    <cellStyle name="Comma 6 3 4 4" xfId="1411"/>
    <cellStyle name="Comma 6 3 5" xfId="1412"/>
    <cellStyle name="Comma 6 3 5 2" xfId="1413"/>
    <cellStyle name="Comma 6 3 6" xfId="1414"/>
    <cellStyle name="Comma 6 3 6 2" xfId="1415"/>
    <cellStyle name="Comma 6 3 7" xfId="1416"/>
    <cellStyle name="Comma 6 4" xfId="1417"/>
    <cellStyle name="Comma 6 4 2" xfId="1418"/>
    <cellStyle name="Comma 6 4 2 2" xfId="1419"/>
    <cellStyle name="Comma 6 4 2 2 2" xfId="1420"/>
    <cellStyle name="Comma 6 4 2 2 2 2" xfId="1421"/>
    <cellStyle name="Comma 6 4 2 2 2 2 2" xfId="1422"/>
    <cellStyle name="Comma 6 4 2 2 2 3" xfId="1423"/>
    <cellStyle name="Comma 6 4 2 2 2 3 2" xfId="1424"/>
    <cellStyle name="Comma 6 4 2 2 2 4" xfId="1425"/>
    <cellStyle name="Comma 6 4 2 2 3" xfId="1426"/>
    <cellStyle name="Comma 6 4 2 2 3 2" xfId="1427"/>
    <cellStyle name="Comma 6 4 2 2 4" xfId="1428"/>
    <cellStyle name="Comma 6 4 2 2 4 2" xfId="1429"/>
    <cellStyle name="Comma 6 4 2 2 5" xfId="1430"/>
    <cellStyle name="Comma 6 4 2 3" xfId="1431"/>
    <cellStyle name="Comma 6 4 2 3 2" xfId="1432"/>
    <cellStyle name="Comma 6 4 2 3 2 2" xfId="1433"/>
    <cellStyle name="Comma 6 4 2 3 3" xfId="1434"/>
    <cellStyle name="Comma 6 4 2 3 3 2" xfId="1435"/>
    <cellStyle name="Comma 6 4 2 3 4" xfId="1436"/>
    <cellStyle name="Comma 6 4 2 4" xfId="1437"/>
    <cellStyle name="Comma 6 4 2 4 2" xfId="1438"/>
    <cellStyle name="Comma 6 4 2 5" xfId="1439"/>
    <cellStyle name="Comma 6 4 2 5 2" xfId="1440"/>
    <cellStyle name="Comma 6 4 2 6" xfId="1441"/>
    <cellStyle name="Comma 6 4 3" xfId="1442"/>
    <cellStyle name="Comma 6 4 3 2" xfId="1443"/>
    <cellStyle name="Comma 6 4 3 2 2" xfId="1444"/>
    <cellStyle name="Comma 6 4 3 2 2 2" xfId="1445"/>
    <cellStyle name="Comma 6 4 3 2 3" xfId="1446"/>
    <cellStyle name="Comma 6 4 3 2 3 2" xfId="1447"/>
    <cellStyle name="Comma 6 4 3 2 4" xfId="1448"/>
    <cellStyle name="Comma 6 4 3 3" xfId="1449"/>
    <cellStyle name="Comma 6 4 3 3 2" xfId="1450"/>
    <cellStyle name="Comma 6 4 3 4" xfId="1451"/>
    <cellStyle name="Comma 6 4 3 4 2" xfId="1452"/>
    <cellStyle name="Comma 6 4 3 5" xfId="1453"/>
    <cellStyle name="Comma 6 4 4" xfId="1454"/>
    <cellStyle name="Comma 6 4 4 2" xfId="1455"/>
    <cellStyle name="Comma 6 4 4 2 2" xfId="1456"/>
    <cellStyle name="Comma 6 4 4 3" xfId="1457"/>
    <cellStyle name="Comma 6 4 4 3 2" xfId="1458"/>
    <cellStyle name="Comma 6 4 4 4" xfId="1459"/>
    <cellStyle name="Comma 6 4 5" xfId="1460"/>
    <cellStyle name="Comma 6 4 5 2" xfId="1461"/>
    <cellStyle name="Comma 6 4 6" xfId="1462"/>
    <cellStyle name="Comma 6 4 6 2" xfId="1463"/>
    <cellStyle name="Comma 6 4 7" xfId="1464"/>
    <cellStyle name="Comma 6 5" xfId="1465"/>
    <cellStyle name="Comma 6 5 2" xfId="1466"/>
    <cellStyle name="Comma 6 5 2 2" xfId="1467"/>
    <cellStyle name="Comma 6 5 2 2 2" xfId="1468"/>
    <cellStyle name="Comma 6 5 2 2 2 2" xfId="1469"/>
    <cellStyle name="Comma 6 5 2 2 3" xfId="1470"/>
    <cellStyle name="Comma 6 5 2 2 3 2" xfId="1471"/>
    <cellStyle name="Comma 6 5 2 2 4" xfId="1472"/>
    <cellStyle name="Comma 6 5 2 3" xfId="1473"/>
    <cellStyle name="Comma 6 5 2 3 2" xfId="1474"/>
    <cellStyle name="Comma 6 5 2 4" xfId="1475"/>
    <cellStyle name="Comma 6 5 2 4 2" xfId="1476"/>
    <cellStyle name="Comma 6 5 2 5" xfId="1477"/>
    <cellStyle name="Comma 6 5 3" xfId="1478"/>
    <cellStyle name="Comma 6 5 3 2" xfId="1479"/>
    <cellStyle name="Comma 6 5 3 2 2" xfId="1480"/>
    <cellStyle name="Comma 6 5 3 3" xfId="1481"/>
    <cellStyle name="Comma 6 5 3 3 2" xfId="1482"/>
    <cellStyle name="Comma 6 5 3 4" xfId="1483"/>
    <cellStyle name="Comma 6 5 4" xfId="1484"/>
    <cellStyle name="Comma 6 5 4 2" xfId="1485"/>
    <cellStyle name="Comma 6 5 5" xfId="1486"/>
    <cellStyle name="Comma 6 5 5 2" xfId="1487"/>
    <cellStyle name="Comma 6 5 6" xfId="1488"/>
    <cellStyle name="Comma 6 6" xfId="1489"/>
    <cellStyle name="Comma 6 6 2" xfId="1490"/>
    <cellStyle name="Comma 6 6 2 2" xfId="1491"/>
    <cellStyle name="Comma 6 6 2 2 2" xfId="1492"/>
    <cellStyle name="Comma 6 6 2 3" xfId="1493"/>
    <cellStyle name="Comma 6 6 2 3 2" xfId="1494"/>
    <cellStyle name="Comma 6 6 2 4" xfId="1495"/>
    <cellStyle name="Comma 6 6 3" xfId="1496"/>
    <cellStyle name="Comma 6 6 3 2" xfId="1497"/>
    <cellStyle name="Comma 6 6 4" xfId="1498"/>
    <cellStyle name="Comma 6 6 4 2" xfId="1499"/>
    <cellStyle name="Comma 6 6 5" xfId="1500"/>
    <cellStyle name="Comma 6 7" xfId="1501"/>
    <cellStyle name="Comma 6 7 2" xfId="1502"/>
    <cellStyle name="Comma 6 7 2 2" xfId="1503"/>
    <cellStyle name="Comma 6 7 3" xfId="1504"/>
    <cellStyle name="Comma 6 7 3 2" xfId="1505"/>
    <cellStyle name="Comma 6 7 4" xfId="1506"/>
    <cellStyle name="Comma 6 8" xfId="1507"/>
    <cellStyle name="Comma 6 8 2" xfId="1508"/>
    <cellStyle name="Comma 6 9" xfId="1509"/>
    <cellStyle name="Comma 6 9 2" xfId="1510"/>
    <cellStyle name="Comma 7" xfId="1511"/>
    <cellStyle name="Comma 7 10" xfId="1512"/>
    <cellStyle name="Comma 7 2" xfId="1513"/>
    <cellStyle name="Comma 7 2 2" xfId="1514"/>
    <cellStyle name="Comma 7 2 2 2" xfId="1515"/>
    <cellStyle name="Comma 7 2 2 2 2" xfId="1516"/>
    <cellStyle name="Comma 7 2 2 2 2 2" xfId="1517"/>
    <cellStyle name="Comma 7 2 2 2 2 2 2" xfId="1518"/>
    <cellStyle name="Comma 7 2 2 2 2 2 2 2" xfId="1519"/>
    <cellStyle name="Comma 7 2 2 2 2 2 3" xfId="1520"/>
    <cellStyle name="Comma 7 2 2 2 2 2 3 2" xfId="1521"/>
    <cellStyle name="Comma 7 2 2 2 2 2 4" xfId="1522"/>
    <cellStyle name="Comma 7 2 2 2 2 3" xfId="1523"/>
    <cellStyle name="Comma 7 2 2 2 2 3 2" xfId="1524"/>
    <cellStyle name="Comma 7 2 2 2 2 4" xfId="1525"/>
    <cellStyle name="Comma 7 2 2 2 2 4 2" xfId="1526"/>
    <cellStyle name="Comma 7 2 2 2 2 5" xfId="1527"/>
    <cellStyle name="Comma 7 2 2 2 3" xfId="1528"/>
    <cellStyle name="Comma 7 2 2 2 3 2" xfId="1529"/>
    <cellStyle name="Comma 7 2 2 2 3 2 2" xfId="1530"/>
    <cellStyle name="Comma 7 2 2 2 3 3" xfId="1531"/>
    <cellStyle name="Comma 7 2 2 2 3 3 2" xfId="1532"/>
    <cellStyle name="Comma 7 2 2 2 3 4" xfId="1533"/>
    <cellStyle name="Comma 7 2 2 2 4" xfId="1534"/>
    <cellStyle name="Comma 7 2 2 2 4 2" xfId="1535"/>
    <cellStyle name="Comma 7 2 2 2 5" xfId="1536"/>
    <cellStyle name="Comma 7 2 2 2 5 2" xfId="1537"/>
    <cellStyle name="Comma 7 2 2 2 6" xfId="1538"/>
    <cellStyle name="Comma 7 2 2 3" xfId="1539"/>
    <cellStyle name="Comma 7 2 2 3 2" xfId="1540"/>
    <cellStyle name="Comma 7 2 2 3 2 2" xfId="1541"/>
    <cellStyle name="Comma 7 2 2 3 2 2 2" xfId="1542"/>
    <cellStyle name="Comma 7 2 2 3 2 3" xfId="1543"/>
    <cellStyle name="Comma 7 2 2 3 2 3 2" xfId="1544"/>
    <cellStyle name="Comma 7 2 2 3 2 4" xfId="1545"/>
    <cellStyle name="Comma 7 2 2 3 3" xfId="1546"/>
    <cellStyle name="Comma 7 2 2 3 3 2" xfId="1547"/>
    <cellStyle name="Comma 7 2 2 3 4" xfId="1548"/>
    <cellStyle name="Comma 7 2 2 3 4 2" xfId="1549"/>
    <cellStyle name="Comma 7 2 2 3 5" xfId="1550"/>
    <cellStyle name="Comma 7 2 2 4" xfId="1551"/>
    <cellStyle name="Comma 7 2 2 4 2" xfId="1552"/>
    <cellStyle name="Comma 7 2 2 4 2 2" xfId="1553"/>
    <cellStyle name="Comma 7 2 2 4 3" xfId="1554"/>
    <cellStyle name="Comma 7 2 2 4 3 2" xfId="1555"/>
    <cellStyle name="Comma 7 2 2 4 4" xfId="1556"/>
    <cellStyle name="Comma 7 2 2 5" xfId="1557"/>
    <cellStyle name="Comma 7 2 2 5 2" xfId="1558"/>
    <cellStyle name="Comma 7 2 2 6" xfId="1559"/>
    <cellStyle name="Comma 7 2 2 6 2" xfId="1560"/>
    <cellStyle name="Comma 7 2 2 7" xfId="1561"/>
    <cellStyle name="Comma 7 2 3" xfId="1562"/>
    <cellStyle name="Comma 7 2 3 2" xfId="1563"/>
    <cellStyle name="Comma 7 2 3 2 2" xfId="1564"/>
    <cellStyle name="Comma 7 2 3 2 2 2" xfId="1565"/>
    <cellStyle name="Comma 7 2 3 2 2 2 2" xfId="1566"/>
    <cellStyle name="Comma 7 2 3 2 2 3" xfId="1567"/>
    <cellStyle name="Comma 7 2 3 2 2 3 2" xfId="1568"/>
    <cellStyle name="Comma 7 2 3 2 2 4" xfId="1569"/>
    <cellStyle name="Comma 7 2 3 2 3" xfId="1570"/>
    <cellStyle name="Comma 7 2 3 2 3 2" xfId="1571"/>
    <cellStyle name="Comma 7 2 3 2 4" xfId="1572"/>
    <cellStyle name="Comma 7 2 3 2 4 2" xfId="1573"/>
    <cellStyle name="Comma 7 2 3 2 5" xfId="1574"/>
    <cellStyle name="Comma 7 2 3 3" xfId="1575"/>
    <cellStyle name="Comma 7 2 3 3 2" xfId="1576"/>
    <cellStyle name="Comma 7 2 3 3 2 2" xfId="1577"/>
    <cellStyle name="Comma 7 2 3 3 3" xfId="1578"/>
    <cellStyle name="Comma 7 2 3 3 3 2" xfId="1579"/>
    <cellStyle name="Comma 7 2 3 3 4" xfId="1580"/>
    <cellStyle name="Comma 7 2 3 4" xfId="1581"/>
    <cellStyle name="Comma 7 2 3 4 2" xfId="1582"/>
    <cellStyle name="Comma 7 2 3 5" xfId="1583"/>
    <cellStyle name="Comma 7 2 3 5 2" xfId="1584"/>
    <cellStyle name="Comma 7 2 3 6" xfId="1585"/>
    <cellStyle name="Comma 7 2 4" xfId="1586"/>
    <cellStyle name="Comma 7 2 4 2" xfId="1587"/>
    <cellStyle name="Comma 7 2 4 2 2" xfId="1588"/>
    <cellStyle name="Comma 7 2 4 2 2 2" xfId="1589"/>
    <cellStyle name="Comma 7 2 4 2 3" xfId="1590"/>
    <cellStyle name="Comma 7 2 4 2 3 2" xfId="1591"/>
    <cellStyle name="Comma 7 2 4 2 4" xfId="1592"/>
    <cellStyle name="Comma 7 2 4 3" xfId="1593"/>
    <cellStyle name="Comma 7 2 4 3 2" xfId="1594"/>
    <cellStyle name="Comma 7 2 4 4" xfId="1595"/>
    <cellStyle name="Comma 7 2 4 4 2" xfId="1596"/>
    <cellStyle name="Comma 7 2 4 5" xfId="1597"/>
    <cellStyle name="Comma 7 2 5" xfId="1598"/>
    <cellStyle name="Comma 7 2 5 2" xfId="1599"/>
    <cellStyle name="Comma 7 2 5 2 2" xfId="1600"/>
    <cellStyle name="Comma 7 2 5 3" xfId="1601"/>
    <cellStyle name="Comma 7 2 5 3 2" xfId="1602"/>
    <cellStyle name="Comma 7 2 5 4" xfId="1603"/>
    <cellStyle name="Comma 7 2 6" xfId="1604"/>
    <cellStyle name="Comma 7 2 6 2" xfId="1605"/>
    <cellStyle name="Comma 7 2 7" xfId="1606"/>
    <cellStyle name="Comma 7 2 7 2" xfId="1607"/>
    <cellStyle name="Comma 7 2 8" xfId="1608"/>
    <cellStyle name="Comma 7 2 9" xfId="1609"/>
    <cellStyle name="Comma 7 3" xfId="1610"/>
    <cellStyle name="Comma 7 3 2" xfId="1611"/>
    <cellStyle name="Comma 7 3 2 2" xfId="1612"/>
    <cellStyle name="Comma 7 3 2 2 2" xfId="1613"/>
    <cellStyle name="Comma 7 3 2 2 2 2" xfId="1614"/>
    <cellStyle name="Comma 7 3 2 2 2 2 2" xfId="1615"/>
    <cellStyle name="Comma 7 3 2 2 2 3" xfId="1616"/>
    <cellStyle name="Comma 7 3 2 2 2 3 2" xfId="1617"/>
    <cellStyle name="Comma 7 3 2 2 2 4" xfId="1618"/>
    <cellStyle name="Comma 7 3 2 2 3" xfId="1619"/>
    <cellStyle name="Comma 7 3 2 2 3 2" xfId="1620"/>
    <cellStyle name="Comma 7 3 2 2 4" xfId="1621"/>
    <cellStyle name="Comma 7 3 2 2 4 2" xfId="1622"/>
    <cellStyle name="Comma 7 3 2 2 5" xfId="1623"/>
    <cellStyle name="Comma 7 3 2 3" xfId="1624"/>
    <cellStyle name="Comma 7 3 2 3 2" xfId="1625"/>
    <cellStyle name="Comma 7 3 2 3 2 2" xfId="1626"/>
    <cellStyle name="Comma 7 3 2 3 3" xfId="1627"/>
    <cellStyle name="Comma 7 3 2 3 3 2" xfId="1628"/>
    <cellStyle name="Comma 7 3 2 3 4" xfId="1629"/>
    <cellStyle name="Comma 7 3 2 4" xfId="1630"/>
    <cellStyle name="Comma 7 3 2 4 2" xfId="1631"/>
    <cellStyle name="Comma 7 3 2 5" xfId="1632"/>
    <cellStyle name="Comma 7 3 2 5 2" xfId="1633"/>
    <cellStyle name="Comma 7 3 2 6" xfId="1634"/>
    <cellStyle name="Comma 7 3 3" xfId="1635"/>
    <cellStyle name="Comma 7 3 3 2" xfId="1636"/>
    <cellStyle name="Comma 7 3 3 2 2" xfId="1637"/>
    <cellStyle name="Comma 7 3 3 2 2 2" xfId="1638"/>
    <cellStyle name="Comma 7 3 3 2 3" xfId="1639"/>
    <cellStyle name="Comma 7 3 3 2 3 2" xfId="1640"/>
    <cellStyle name="Comma 7 3 3 2 4" xfId="1641"/>
    <cellStyle name="Comma 7 3 3 3" xfId="1642"/>
    <cellStyle name="Comma 7 3 3 3 2" xfId="1643"/>
    <cellStyle name="Comma 7 3 3 4" xfId="1644"/>
    <cellStyle name="Comma 7 3 3 4 2" xfId="1645"/>
    <cellStyle name="Comma 7 3 3 5" xfId="1646"/>
    <cellStyle name="Comma 7 3 4" xfId="1647"/>
    <cellStyle name="Comma 7 3 4 2" xfId="1648"/>
    <cellStyle name="Comma 7 3 4 2 2" xfId="1649"/>
    <cellStyle name="Comma 7 3 4 3" xfId="1650"/>
    <cellStyle name="Comma 7 3 4 3 2" xfId="1651"/>
    <cellStyle name="Comma 7 3 4 4" xfId="1652"/>
    <cellStyle name="Comma 7 3 5" xfId="1653"/>
    <cellStyle name="Comma 7 3 5 2" xfId="1654"/>
    <cellStyle name="Comma 7 3 6" xfId="1655"/>
    <cellStyle name="Comma 7 3 6 2" xfId="1656"/>
    <cellStyle name="Comma 7 3 7" xfId="1657"/>
    <cellStyle name="Comma 7 4" xfId="1658"/>
    <cellStyle name="Comma 7 4 2" xfId="1659"/>
    <cellStyle name="Comma 7 4 2 2" xfId="1660"/>
    <cellStyle name="Comma 7 4 2 2 2" xfId="1661"/>
    <cellStyle name="Comma 7 4 2 2 2 2" xfId="1662"/>
    <cellStyle name="Comma 7 4 2 2 2 2 2" xfId="1663"/>
    <cellStyle name="Comma 7 4 2 2 2 3" xfId="1664"/>
    <cellStyle name="Comma 7 4 2 2 2 3 2" xfId="1665"/>
    <cellStyle name="Comma 7 4 2 2 2 4" xfId="1666"/>
    <cellStyle name="Comma 7 4 2 2 3" xfId="1667"/>
    <cellStyle name="Comma 7 4 2 2 3 2" xfId="1668"/>
    <cellStyle name="Comma 7 4 2 2 4" xfId="1669"/>
    <cellStyle name="Comma 7 4 2 2 4 2" xfId="1670"/>
    <cellStyle name="Comma 7 4 2 2 5" xfId="1671"/>
    <cellStyle name="Comma 7 4 2 3" xfId="1672"/>
    <cellStyle name="Comma 7 4 2 3 2" xfId="1673"/>
    <cellStyle name="Comma 7 4 2 3 2 2" xfId="1674"/>
    <cellStyle name="Comma 7 4 2 3 3" xfId="1675"/>
    <cellStyle name="Comma 7 4 2 3 3 2" xfId="1676"/>
    <cellStyle name="Comma 7 4 2 3 4" xfId="1677"/>
    <cellStyle name="Comma 7 4 2 4" xfId="1678"/>
    <cellStyle name="Comma 7 4 2 4 2" xfId="1679"/>
    <cellStyle name="Comma 7 4 2 5" xfId="1680"/>
    <cellStyle name="Comma 7 4 2 5 2" xfId="1681"/>
    <cellStyle name="Comma 7 4 2 6" xfId="1682"/>
    <cellStyle name="Comma 7 4 3" xfId="1683"/>
    <cellStyle name="Comma 7 4 3 2" xfId="1684"/>
    <cellStyle name="Comma 7 4 3 2 2" xfId="1685"/>
    <cellStyle name="Comma 7 4 3 2 2 2" xfId="1686"/>
    <cellStyle name="Comma 7 4 3 2 3" xfId="1687"/>
    <cellStyle name="Comma 7 4 3 2 3 2" xfId="1688"/>
    <cellStyle name="Comma 7 4 3 2 4" xfId="1689"/>
    <cellStyle name="Comma 7 4 3 3" xfId="1690"/>
    <cellStyle name="Comma 7 4 3 3 2" xfId="1691"/>
    <cellStyle name="Comma 7 4 3 4" xfId="1692"/>
    <cellStyle name="Comma 7 4 3 4 2" xfId="1693"/>
    <cellStyle name="Comma 7 4 3 5" xfId="1694"/>
    <cellStyle name="Comma 7 4 4" xfId="1695"/>
    <cellStyle name="Comma 7 4 4 2" xfId="1696"/>
    <cellStyle name="Comma 7 4 4 2 2" xfId="1697"/>
    <cellStyle name="Comma 7 4 4 3" xfId="1698"/>
    <cellStyle name="Comma 7 4 4 3 2" xfId="1699"/>
    <cellStyle name="Comma 7 4 4 4" xfId="1700"/>
    <cellStyle name="Comma 7 4 5" xfId="1701"/>
    <cellStyle name="Comma 7 4 5 2" xfId="1702"/>
    <cellStyle name="Comma 7 4 6" xfId="1703"/>
    <cellStyle name="Comma 7 4 6 2" xfId="1704"/>
    <cellStyle name="Comma 7 4 7" xfId="1705"/>
    <cellStyle name="Comma 7 5" xfId="1706"/>
    <cellStyle name="Comma 7 5 2" xfId="1707"/>
    <cellStyle name="Comma 7 5 2 2" xfId="1708"/>
    <cellStyle name="Comma 7 5 2 2 2" xfId="1709"/>
    <cellStyle name="Comma 7 5 2 2 2 2" xfId="1710"/>
    <cellStyle name="Comma 7 5 2 2 3" xfId="1711"/>
    <cellStyle name="Comma 7 5 2 2 3 2" xfId="1712"/>
    <cellStyle name="Comma 7 5 2 2 4" xfId="1713"/>
    <cellStyle name="Comma 7 5 2 3" xfId="1714"/>
    <cellStyle name="Comma 7 5 2 3 2" xfId="1715"/>
    <cellStyle name="Comma 7 5 2 4" xfId="1716"/>
    <cellStyle name="Comma 7 5 2 4 2" xfId="1717"/>
    <cellStyle name="Comma 7 5 2 5" xfId="1718"/>
    <cellStyle name="Comma 7 5 3" xfId="1719"/>
    <cellStyle name="Comma 7 5 3 2" xfId="1720"/>
    <cellStyle name="Comma 7 5 3 2 2" xfId="1721"/>
    <cellStyle name="Comma 7 5 3 3" xfId="1722"/>
    <cellStyle name="Comma 7 5 3 3 2" xfId="1723"/>
    <cellStyle name="Comma 7 5 3 4" xfId="1724"/>
    <cellStyle name="Comma 7 5 4" xfId="1725"/>
    <cellStyle name="Comma 7 5 4 2" xfId="1726"/>
    <cellStyle name="Comma 7 5 5" xfId="1727"/>
    <cellStyle name="Comma 7 5 5 2" xfId="1728"/>
    <cellStyle name="Comma 7 5 6" xfId="1729"/>
    <cellStyle name="Comma 7 6" xfId="1730"/>
    <cellStyle name="Comma 7 6 2" xfId="1731"/>
    <cellStyle name="Comma 7 6 2 2" xfId="1732"/>
    <cellStyle name="Comma 7 6 2 2 2" xfId="1733"/>
    <cellStyle name="Comma 7 6 2 3" xfId="1734"/>
    <cellStyle name="Comma 7 6 2 3 2" xfId="1735"/>
    <cellStyle name="Comma 7 6 2 4" xfId="1736"/>
    <cellStyle name="Comma 7 6 3" xfId="1737"/>
    <cellStyle name="Comma 7 6 3 2" xfId="1738"/>
    <cellStyle name="Comma 7 6 4" xfId="1739"/>
    <cellStyle name="Comma 7 6 4 2" xfId="1740"/>
    <cellStyle name="Comma 7 6 5" xfId="1741"/>
    <cellStyle name="Comma 7 7" xfId="1742"/>
    <cellStyle name="Comma 7 7 2" xfId="1743"/>
    <cellStyle name="Comma 7 7 2 2" xfId="1744"/>
    <cellStyle name="Comma 7 7 3" xfId="1745"/>
    <cellStyle name="Comma 7 7 3 2" xfId="1746"/>
    <cellStyle name="Comma 7 7 4" xfId="1747"/>
    <cellStyle name="Comma 7 8" xfId="1748"/>
    <cellStyle name="Comma 7 8 2" xfId="1749"/>
    <cellStyle name="Comma 7 9" xfId="1750"/>
    <cellStyle name="Comma 7 9 2" xfId="1751"/>
    <cellStyle name="Comma 8" xfId="1752"/>
    <cellStyle name="Comma 8 2" xfId="1753"/>
    <cellStyle name="Comma 8 2 2" xfId="1754"/>
    <cellStyle name="Comma 8 2 2 2" xfId="1755"/>
    <cellStyle name="Comma 8 2 2 2 2" xfId="1756"/>
    <cellStyle name="Comma 8 2 2 2 2 2" xfId="1757"/>
    <cellStyle name="Comma 8 2 2 2 2 2 2" xfId="1758"/>
    <cellStyle name="Comma 8 2 2 2 2 3" xfId="1759"/>
    <cellStyle name="Comma 8 2 2 2 2 3 2" xfId="1760"/>
    <cellStyle name="Comma 8 2 2 2 2 4" xfId="1761"/>
    <cellStyle name="Comma 8 2 2 2 3" xfId="1762"/>
    <cellStyle name="Comma 8 2 2 2 3 2" xfId="1763"/>
    <cellStyle name="Comma 8 2 2 2 4" xfId="1764"/>
    <cellStyle name="Comma 8 2 2 2 4 2" xfId="1765"/>
    <cellStyle name="Comma 8 2 2 2 5" xfId="1766"/>
    <cellStyle name="Comma 8 2 2 3" xfId="1767"/>
    <cellStyle name="Comma 8 2 2 3 2" xfId="1768"/>
    <cellStyle name="Comma 8 2 2 3 2 2" xfId="1769"/>
    <cellStyle name="Comma 8 2 2 3 3" xfId="1770"/>
    <cellStyle name="Comma 8 2 2 3 3 2" xfId="1771"/>
    <cellStyle name="Comma 8 2 2 3 4" xfId="1772"/>
    <cellStyle name="Comma 8 2 2 4" xfId="1773"/>
    <cellStyle name="Comma 8 2 2 4 2" xfId="1774"/>
    <cellStyle name="Comma 8 2 2 5" xfId="1775"/>
    <cellStyle name="Comma 8 2 2 5 2" xfId="1776"/>
    <cellStyle name="Comma 8 2 2 6" xfId="1777"/>
    <cellStyle name="Comma 8 2 3" xfId="1778"/>
    <cellStyle name="Comma 8 2 3 2" xfId="1779"/>
    <cellStyle name="Comma 8 2 3 2 2" xfId="1780"/>
    <cellStyle name="Comma 8 2 3 2 2 2" xfId="1781"/>
    <cellStyle name="Comma 8 2 3 2 3" xfId="1782"/>
    <cellStyle name="Comma 8 2 3 2 3 2" xfId="1783"/>
    <cellStyle name="Comma 8 2 3 2 4" xfId="1784"/>
    <cellStyle name="Comma 8 2 3 3" xfId="1785"/>
    <cellStyle name="Comma 8 2 3 3 2" xfId="1786"/>
    <cellStyle name="Comma 8 2 3 4" xfId="1787"/>
    <cellStyle name="Comma 8 2 3 4 2" xfId="1788"/>
    <cellStyle name="Comma 8 2 3 5" xfId="1789"/>
    <cellStyle name="Comma 8 2 4" xfId="1790"/>
    <cellStyle name="Comma 8 2 4 2" xfId="1791"/>
    <cellStyle name="Comma 8 2 4 2 2" xfId="1792"/>
    <cellStyle name="Comma 8 2 4 3" xfId="1793"/>
    <cellStyle name="Comma 8 2 4 3 2" xfId="1794"/>
    <cellStyle name="Comma 8 2 4 4" xfId="1795"/>
    <cellStyle name="Comma 8 2 5" xfId="1796"/>
    <cellStyle name="Comma 8 2 5 2" xfId="1797"/>
    <cellStyle name="Comma 8 2 6" xfId="1798"/>
    <cellStyle name="Comma 8 2 6 2" xfId="1799"/>
    <cellStyle name="Comma 8 2 7" xfId="1800"/>
    <cellStyle name="Comma 8 2 8" xfId="1801"/>
    <cellStyle name="Comma 8 3" xfId="1802"/>
    <cellStyle name="Comma 8 3 2" xfId="1803"/>
    <cellStyle name="Comma 8 3 2 2" xfId="1804"/>
    <cellStyle name="Comma 8 3 2 2 2" xfId="1805"/>
    <cellStyle name="Comma 8 3 2 2 2 2" xfId="1806"/>
    <cellStyle name="Comma 8 3 2 2 2 2 2" xfId="1807"/>
    <cellStyle name="Comma 8 3 2 2 2 3" xfId="1808"/>
    <cellStyle name="Comma 8 3 2 2 2 3 2" xfId="1809"/>
    <cellStyle name="Comma 8 3 2 2 2 4" xfId="1810"/>
    <cellStyle name="Comma 8 3 2 2 3" xfId="1811"/>
    <cellStyle name="Comma 8 3 2 2 3 2" xfId="1812"/>
    <cellStyle name="Comma 8 3 2 2 4" xfId="1813"/>
    <cellStyle name="Comma 8 3 2 2 4 2" xfId="1814"/>
    <cellStyle name="Comma 8 3 2 2 5" xfId="1815"/>
    <cellStyle name="Comma 8 3 2 3" xfId="1816"/>
    <cellStyle name="Comma 8 3 2 3 2" xfId="1817"/>
    <cellStyle name="Comma 8 3 2 3 2 2" xfId="1818"/>
    <cellStyle name="Comma 8 3 2 3 3" xfId="1819"/>
    <cellStyle name="Comma 8 3 2 3 3 2" xfId="1820"/>
    <cellStyle name="Comma 8 3 2 3 4" xfId="1821"/>
    <cellStyle name="Comma 8 3 2 4" xfId="1822"/>
    <cellStyle name="Comma 8 3 2 4 2" xfId="1823"/>
    <cellStyle name="Comma 8 3 2 5" xfId="1824"/>
    <cellStyle name="Comma 8 3 2 5 2" xfId="1825"/>
    <cellStyle name="Comma 8 3 2 6" xfId="1826"/>
    <cellStyle name="Comma 8 3 3" xfId="1827"/>
    <cellStyle name="Comma 8 3 3 2" xfId="1828"/>
    <cellStyle name="Comma 8 3 3 2 2" xfId="1829"/>
    <cellStyle name="Comma 8 3 3 2 2 2" xfId="1830"/>
    <cellStyle name="Comma 8 3 3 2 3" xfId="1831"/>
    <cellStyle name="Comma 8 3 3 2 3 2" xfId="1832"/>
    <cellStyle name="Comma 8 3 3 2 4" xfId="1833"/>
    <cellStyle name="Comma 8 3 3 3" xfId="1834"/>
    <cellStyle name="Comma 8 3 3 3 2" xfId="1835"/>
    <cellStyle name="Comma 8 3 3 4" xfId="1836"/>
    <cellStyle name="Comma 8 3 3 4 2" xfId="1837"/>
    <cellStyle name="Comma 8 3 3 5" xfId="1838"/>
    <cellStyle name="Comma 8 3 4" xfId="1839"/>
    <cellStyle name="Comma 8 3 4 2" xfId="1840"/>
    <cellStyle name="Comma 8 3 4 2 2" xfId="1841"/>
    <cellStyle name="Comma 8 3 4 3" xfId="1842"/>
    <cellStyle name="Comma 8 3 4 3 2" xfId="1843"/>
    <cellStyle name="Comma 8 3 4 4" xfId="1844"/>
    <cellStyle name="Comma 8 3 5" xfId="1845"/>
    <cellStyle name="Comma 8 3 5 2" xfId="1846"/>
    <cellStyle name="Comma 8 3 6" xfId="1847"/>
    <cellStyle name="Comma 8 3 6 2" xfId="1848"/>
    <cellStyle name="Comma 8 3 7" xfId="1849"/>
    <cellStyle name="Comma 8 4" xfId="1850"/>
    <cellStyle name="Comma 8 4 2" xfId="1851"/>
    <cellStyle name="Comma 8 4 2 2" xfId="1852"/>
    <cellStyle name="Comma 8 4 2 2 2" xfId="1853"/>
    <cellStyle name="Comma 8 4 2 2 2 2" xfId="1854"/>
    <cellStyle name="Comma 8 4 2 2 3" xfId="1855"/>
    <cellStyle name="Comma 8 4 2 2 3 2" xfId="1856"/>
    <cellStyle name="Comma 8 4 2 2 4" xfId="1857"/>
    <cellStyle name="Comma 8 4 2 3" xfId="1858"/>
    <cellStyle name="Comma 8 4 2 3 2" xfId="1859"/>
    <cellStyle name="Comma 8 4 2 4" xfId="1860"/>
    <cellStyle name="Comma 8 4 2 4 2" xfId="1861"/>
    <cellStyle name="Comma 8 4 2 5" xfId="1862"/>
    <cellStyle name="Comma 8 4 3" xfId="1863"/>
    <cellStyle name="Comma 8 4 3 2" xfId="1864"/>
    <cellStyle name="Comma 8 4 3 2 2" xfId="1865"/>
    <cellStyle name="Comma 8 4 3 3" xfId="1866"/>
    <cellStyle name="Comma 8 4 3 3 2" xfId="1867"/>
    <cellStyle name="Comma 8 4 3 4" xfId="1868"/>
    <cellStyle name="Comma 8 4 4" xfId="1869"/>
    <cellStyle name="Comma 8 4 4 2" xfId="1870"/>
    <cellStyle name="Comma 8 4 5" xfId="1871"/>
    <cellStyle name="Comma 8 4 5 2" xfId="1872"/>
    <cellStyle name="Comma 8 4 6" xfId="1873"/>
    <cellStyle name="Comma 8 5" xfId="1874"/>
    <cellStyle name="Comma 8 5 2" xfId="1875"/>
    <cellStyle name="Comma 8 5 2 2" xfId="1876"/>
    <cellStyle name="Comma 8 5 2 2 2" xfId="1877"/>
    <cellStyle name="Comma 8 5 2 3" xfId="1878"/>
    <cellStyle name="Comma 8 5 2 3 2" xfId="1879"/>
    <cellStyle name="Comma 8 5 2 4" xfId="1880"/>
    <cellStyle name="Comma 8 5 3" xfId="1881"/>
    <cellStyle name="Comma 8 5 3 2" xfId="1882"/>
    <cellStyle name="Comma 8 5 4" xfId="1883"/>
    <cellStyle name="Comma 8 5 4 2" xfId="1884"/>
    <cellStyle name="Comma 8 5 5" xfId="1885"/>
    <cellStyle name="Comma 8 6" xfId="1886"/>
    <cellStyle name="Comma 8 6 2" xfId="1887"/>
    <cellStyle name="Comma 8 6 2 2" xfId="1888"/>
    <cellStyle name="Comma 8 6 3" xfId="1889"/>
    <cellStyle name="Comma 8 6 3 2" xfId="1890"/>
    <cellStyle name="Comma 8 6 4" xfId="1891"/>
    <cellStyle name="Comma 8 7" xfId="1892"/>
    <cellStyle name="Comma 8 7 2" xfId="1893"/>
    <cellStyle name="Comma 8 8" xfId="1894"/>
    <cellStyle name="Comma 8 8 2" xfId="1895"/>
    <cellStyle name="Comma 8 9" xfId="1896"/>
    <cellStyle name="Comma 9" xfId="1897"/>
    <cellStyle name="Comma 9 2" xfId="1898"/>
    <cellStyle name="Comma(2)" xfId="1899"/>
    <cellStyle name="Comma0" xfId="1900"/>
    <cellStyle name="Comma0 - Style2" xfId="1901"/>
    <cellStyle name="Comma1 - Style1" xfId="1902"/>
    <cellStyle name="Comments" xfId="1903"/>
    <cellStyle name="Currency 10" xfId="1904"/>
    <cellStyle name="Currency 10 2" xfId="1905"/>
    <cellStyle name="Currency 10 2 2" xfId="1906"/>
    <cellStyle name="Currency 10 2 2 2" xfId="1907"/>
    <cellStyle name="Currency 10 2 2 2 2" xfId="1908"/>
    <cellStyle name="Currency 10 2 2 2 2 2" xfId="1909"/>
    <cellStyle name="Currency 10 2 2 2 3" xfId="1910"/>
    <cellStyle name="Currency 10 2 2 2 3 2" xfId="1911"/>
    <cellStyle name="Currency 10 2 2 2 4" xfId="1912"/>
    <cellStyle name="Currency 10 2 2 3" xfId="1913"/>
    <cellStyle name="Currency 10 2 2 3 2" xfId="1914"/>
    <cellStyle name="Currency 10 2 2 4" xfId="1915"/>
    <cellStyle name="Currency 10 2 2 4 2" xfId="1916"/>
    <cellStyle name="Currency 10 2 2 5" xfId="1917"/>
    <cellStyle name="Currency 10 2 3" xfId="1918"/>
    <cellStyle name="Currency 10 2 3 2" xfId="1919"/>
    <cellStyle name="Currency 10 2 3 2 2" xfId="1920"/>
    <cellStyle name="Currency 10 2 3 3" xfId="1921"/>
    <cellStyle name="Currency 10 2 3 3 2" xfId="1922"/>
    <cellStyle name="Currency 10 2 3 4" xfId="1923"/>
    <cellStyle name="Currency 10 2 4" xfId="1924"/>
    <cellStyle name="Currency 10 2 4 2" xfId="1925"/>
    <cellStyle name="Currency 10 2 5" xfId="1926"/>
    <cellStyle name="Currency 10 2 5 2" xfId="1927"/>
    <cellStyle name="Currency 10 2 6" xfId="1928"/>
    <cellStyle name="Currency 10 3" xfId="1929"/>
    <cellStyle name="Currency 10 4" xfId="1930"/>
    <cellStyle name="Currency 10 5" xfId="1931"/>
    <cellStyle name="Currency 11" xfId="1932"/>
    <cellStyle name="Currency 11 2" xfId="1933"/>
    <cellStyle name="Currency 11 2 2" xfId="1934"/>
    <cellStyle name="Currency 11 3" xfId="1935"/>
    <cellStyle name="Currency 11 4" xfId="1936"/>
    <cellStyle name="Currency 11 5" xfId="1937"/>
    <cellStyle name="Currency 11 6" xfId="1938"/>
    <cellStyle name="Currency 12" xfId="1939"/>
    <cellStyle name="Currency 12 2" xfId="1940"/>
    <cellStyle name="Currency 12 2 2" xfId="1941"/>
    <cellStyle name="Currency 12 3" xfId="1942"/>
    <cellStyle name="Currency 12 4" xfId="1943"/>
    <cellStyle name="Currency 13" xfId="1944"/>
    <cellStyle name="Currency 14" xfId="1945"/>
    <cellStyle name="Currency 14 2" xfId="1946"/>
    <cellStyle name="Currency 15" xfId="1947"/>
    <cellStyle name="Currency 16" xfId="1948"/>
    <cellStyle name="Currency 17" xfId="1949"/>
    <cellStyle name="Currency 18" xfId="1950"/>
    <cellStyle name="Currency 19" xfId="1951"/>
    <cellStyle name="Currency 2" xfId="1952"/>
    <cellStyle name="Currency 2 2" xfId="1953"/>
    <cellStyle name="Currency 2 2 2" xfId="1954"/>
    <cellStyle name="Currency 2 2 2 2" xfId="1955"/>
    <cellStyle name="Currency 2 2 2 3" xfId="1956"/>
    <cellStyle name="Currency 2 2 2 4" xfId="1957"/>
    <cellStyle name="Currency 2 2 2 5" xfId="1958"/>
    <cellStyle name="Currency 2 2 2 6" xfId="1959"/>
    <cellStyle name="Currency 2 2 3" xfId="1960"/>
    <cellStyle name="Currency 2 2 3 2" xfId="1961"/>
    <cellStyle name="Currency 2 2 3 3" xfId="1962"/>
    <cellStyle name="Currency 2 2 3 4" xfId="1963"/>
    <cellStyle name="Currency 2 2 4" xfId="1964"/>
    <cellStyle name="Currency 2 2 4 2" xfId="1965"/>
    <cellStyle name="Currency 2 2 4 3" xfId="1966"/>
    <cellStyle name="Currency 2 2 5" xfId="1967"/>
    <cellStyle name="Currency 2 2 6" xfId="1968"/>
    <cellStyle name="Currency 2 2 7" xfId="1969"/>
    <cellStyle name="Currency 2 2 8" xfId="1970"/>
    <cellStyle name="Currency 2 3" xfId="1971"/>
    <cellStyle name="Currency 2 3 2" xfId="1972"/>
    <cellStyle name="Currency 2 3 2 2" xfId="1973"/>
    <cellStyle name="Currency 2 3 2 3" xfId="1974"/>
    <cellStyle name="Currency 2 3 2 4" xfId="1975"/>
    <cellStyle name="Currency 2 3 2 5" xfId="1976"/>
    <cellStyle name="Currency 2 3 2 6" xfId="1977"/>
    <cellStyle name="Currency 2 3 3" xfId="1978"/>
    <cellStyle name="Currency 2 3 3 2" xfId="1979"/>
    <cellStyle name="Currency 2 3 3 3" xfId="1980"/>
    <cellStyle name="Currency 2 3 3 4" xfId="1981"/>
    <cellStyle name="Currency 2 3 3 5" xfId="1982"/>
    <cellStyle name="Currency 2 3 4" xfId="1983"/>
    <cellStyle name="Currency 2 3 4 2" xfId="1984"/>
    <cellStyle name="Currency 2 3 4 3" xfId="1985"/>
    <cellStyle name="Currency 2 3 4 4" xfId="1986"/>
    <cellStyle name="Currency 2 3 5" xfId="1987"/>
    <cellStyle name="Currency 2 3 6" xfId="1988"/>
    <cellStyle name="Currency 2 3 7" xfId="1989"/>
    <cellStyle name="Currency 2 4" xfId="1990"/>
    <cellStyle name="Currency 2 4 10" xfId="1991"/>
    <cellStyle name="Currency 2 4 2" xfId="1992"/>
    <cellStyle name="Currency 2 4 2 2" xfId="1993"/>
    <cellStyle name="Currency 2 4 2 3" xfId="1994"/>
    <cellStyle name="Currency 2 4 2 4" xfId="1995"/>
    <cellStyle name="Currency 2 4 2 5" xfId="1996"/>
    <cellStyle name="Currency 2 4 2 6" xfId="1997"/>
    <cellStyle name="Currency 2 4 3" xfId="1998"/>
    <cellStyle name="Currency 2 4 3 2" xfId="1999"/>
    <cellStyle name="Currency 2 4 3 3" xfId="2000"/>
    <cellStyle name="Currency 2 4 4" xfId="2001"/>
    <cellStyle name="Currency 2 4 4 2" xfId="2002"/>
    <cellStyle name="Currency 2 4 4 3" xfId="2003"/>
    <cellStyle name="Currency 2 4 5" xfId="2004"/>
    <cellStyle name="Currency 2 4 6" xfId="2005"/>
    <cellStyle name="Currency 2 4 7" xfId="2006"/>
    <cellStyle name="Currency 2 4 8" xfId="2007"/>
    <cellStyle name="Currency 2 4 9" xfId="2008"/>
    <cellStyle name="Currency 2 5" xfId="2009"/>
    <cellStyle name="Currency 2 5 2" xfId="2010"/>
    <cellStyle name="Currency 2 5 3" xfId="2011"/>
    <cellStyle name="Currency 2 5 4" xfId="2012"/>
    <cellStyle name="Currency 2 6" xfId="2013"/>
    <cellStyle name="Currency 2 6 2" xfId="2014"/>
    <cellStyle name="Currency 2 6 3" xfId="2015"/>
    <cellStyle name="Currency 2 7" xfId="2016"/>
    <cellStyle name="Currency 3" xfId="2017"/>
    <cellStyle name="Currency 3 10" xfId="2018"/>
    <cellStyle name="Currency 3 2" xfId="2019"/>
    <cellStyle name="Currency 3 2 2" xfId="2020"/>
    <cellStyle name="Currency 3 2 2 2" xfId="2021"/>
    <cellStyle name="Currency 3 2 2 2 2" xfId="2022"/>
    <cellStyle name="Currency 3 2 2 2 2 2" xfId="2023"/>
    <cellStyle name="Currency 3 2 2 2 2 2 2" xfId="2024"/>
    <cellStyle name="Currency 3 2 2 2 2 2 2 2" xfId="2025"/>
    <cellStyle name="Currency 3 2 2 2 2 2 3" xfId="2026"/>
    <cellStyle name="Currency 3 2 2 2 2 2 3 2" xfId="2027"/>
    <cellStyle name="Currency 3 2 2 2 2 2 4" xfId="2028"/>
    <cellStyle name="Currency 3 2 2 2 2 3" xfId="2029"/>
    <cellStyle name="Currency 3 2 2 2 2 3 2" xfId="2030"/>
    <cellStyle name="Currency 3 2 2 2 2 4" xfId="2031"/>
    <cellStyle name="Currency 3 2 2 2 2 4 2" xfId="2032"/>
    <cellStyle name="Currency 3 2 2 2 2 5" xfId="2033"/>
    <cellStyle name="Currency 3 2 2 2 3" xfId="2034"/>
    <cellStyle name="Currency 3 2 2 2 3 2" xfId="2035"/>
    <cellStyle name="Currency 3 2 2 2 3 2 2" xfId="2036"/>
    <cellStyle name="Currency 3 2 2 2 3 3" xfId="2037"/>
    <cellStyle name="Currency 3 2 2 2 3 3 2" xfId="2038"/>
    <cellStyle name="Currency 3 2 2 2 3 4" xfId="2039"/>
    <cellStyle name="Currency 3 2 2 2 4" xfId="2040"/>
    <cellStyle name="Currency 3 2 2 2 4 2" xfId="2041"/>
    <cellStyle name="Currency 3 2 2 2 5" xfId="2042"/>
    <cellStyle name="Currency 3 2 2 2 5 2" xfId="2043"/>
    <cellStyle name="Currency 3 2 2 2 6" xfId="2044"/>
    <cellStyle name="Currency 3 2 2 3" xfId="2045"/>
    <cellStyle name="Currency 3 2 2 3 2" xfId="2046"/>
    <cellStyle name="Currency 3 2 2 3 2 2" xfId="2047"/>
    <cellStyle name="Currency 3 2 2 3 2 2 2" xfId="2048"/>
    <cellStyle name="Currency 3 2 2 3 2 3" xfId="2049"/>
    <cellStyle name="Currency 3 2 2 3 2 3 2" xfId="2050"/>
    <cellStyle name="Currency 3 2 2 3 2 4" xfId="2051"/>
    <cellStyle name="Currency 3 2 2 3 3" xfId="2052"/>
    <cellStyle name="Currency 3 2 2 3 3 2" xfId="2053"/>
    <cellStyle name="Currency 3 2 2 3 4" xfId="2054"/>
    <cellStyle name="Currency 3 2 2 3 4 2" xfId="2055"/>
    <cellStyle name="Currency 3 2 2 3 5" xfId="2056"/>
    <cellStyle name="Currency 3 2 2 4" xfId="2057"/>
    <cellStyle name="Currency 3 2 2 4 2" xfId="2058"/>
    <cellStyle name="Currency 3 2 2 4 2 2" xfId="2059"/>
    <cellStyle name="Currency 3 2 2 4 3" xfId="2060"/>
    <cellStyle name="Currency 3 2 2 4 3 2" xfId="2061"/>
    <cellStyle name="Currency 3 2 2 4 4" xfId="2062"/>
    <cellStyle name="Currency 3 2 2 5" xfId="2063"/>
    <cellStyle name="Currency 3 2 2 5 2" xfId="2064"/>
    <cellStyle name="Currency 3 2 2 6" xfId="2065"/>
    <cellStyle name="Currency 3 2 2 6 2" xfId="2066"/>
    <cellStyle name="Currency 3 2 2 7" xfId="2067"/>
    <cellStyle name="Currency 3 2 3" xfId="2068"/>
    <cellStyle name="Currency 3 2 3 2" xfId="2069"/>
    <cellStyle name="Currency 3 2 3 2 2" xfId="2070"/>
    <cellStyle name="Currency 3 2 3 2 2 2" xfId="2071"/>
    <cellStyle name="Currency 3 2 3 2 2 2 2" xfId="2072"/>
    <cellStyle name="Currency 3 2 3 2 2 3" xfId="2073"/>
    <cellStyle name="Currency 3 2 3 2 2 3 2" xfId="2074"/>
    <cellStyle name="Currency 3 2 3 2 2 4" xfId="2075"/>
    <cellStyle name="Currency 3 2 3 2 3" xfId="2076"/>
    <cellStyle name="Currency 3 2 3 2 3 2" xfId="2077"/>
    <cellStyle name="Currency 3 2 3 2 4" xfId="2078"/>
    <cellStyle name="Currency 3 2 3 2 4 2" xfId="2079"/>
    <cellStyle name="Currency 3 2 3 2 5" xfId="2080"/>
    <cellStyle name="Currency 3 2 3 3" xfId="2081"/>
    <cellStyle name="Currency 3 2 3 3 2" xfId="2082"/>
    <cellStyle name="Currency 3 2 3 3 2 2" xfId="2083"/>
    <cellStyle name="Currency 3 2 3 3 3" xfId="2084"/>
    <cellStyle name="Currency 3 2 3 3 3 2" xfId="2085"/>
    <cellStyle name="Currency 3 2 3 3 4" xfId="2086"/>
    <cellStyle name="Currency 3 2 3 4" xfId="2087"/>
    <cellStyle name="Currency 3 2 3 4 2" xfId="2088"/>
    <cellStyle name="Currency 3 2 3 5" xfId="2089"/>
    <cellStyle name="Currency 3 2 3 5 2" xfId="2090"/>
    <cellStyle name="Currency 3 2 3 6" xfId="2091"/>
    <cellStyle name="Currency 3 2 4" xfId="2092"/>
    <cellStyle name="Currency 3 2 4 2" xfId="2093"/>
    <cellStyle name="Currency 3 2 4 2 2" xfId="2094"/>
    <cellStyle name="Currency 3 2 4 2 2 2" xfId="2095"/>
    <cellStyle name="Currency 3 2 4 2 3" xfId="2096"/>
    <cellStyle name="Currency 3 2 4 2 3 2" xfId="2097"/>
    <cellStyle name="Currency 3 2 4 2 4" xfId="2098"/>
    <cellStyle name="Currency 3 2 4 3" xfId="2099"/>
    <cellStyle name="Currency 3 2 4 3 2" xfId="2100"/>
    <cellStyle name="Currency 3 2 4 4" xfId="2101"/>
    <cellStyle name="Currency 3 2 4 4 2" xfId="2102"/>
    <cellStyle name="Currency 3 2 4 5" xfId="2103"/>
    <cellStyle name="Currency 3 2 5" xfId="2104"/>
    <cellStyle name="Currency 3 2 5 2" xfId="2105"/>
    <cellStyle name="Currency 3 2 5 2 2" xfId="2106"/>
    <cellStyle name="Currency 3 2 5 3" xfId="2107"/>
    <cellStyle name="Currency 3 2 5 3 2" xfId="2108"/>
    <cellStyle name="Currency 3 2 5 4" xfId="2109"/>
    <cellStyle name="Currency 3 2 6" xfId="2110"/>
    <cellStyle name="Currency 3 2 6 2" xfId="2111"/>
    <cellStyle name="Currency 3 2 7" xfId="2112"/>
    <cellStyle name="Currency 3 2 7 2" xfId="2113"/>
    <cellStyle name="Currency 3 2 8" xfId="2114"/>
    <cellStyle name="Currency 3 3" xfId="2115"/>
    <cellStyle name="Currency 3 3 2" xfId="2116"/>
    <cellStyle name="Currency 3 3 2 2" xfId="2117"/>
    <cellStyle name="Currency 3 3 2 2 2" xfId="2118"/>
    <cellStyle name="Currency 3 3 2 2 2 2" xfId="2119"/>
    <cellStyle name="Currency 3 3 2 2 2 2 2" xfId="2120"/>
    <cellStyle name="Currency 3 3 2 2 2 3" xfId="2121"/>
    <cellStyle name="Currency 3 3 2 2 2 3 2" xfId="2122"/>
    <cellStyle name="Currency 3 3 2 2 2 4" xfId="2123"/>
    <cellStyle name="Currency 3 3 2 2 3" xfId="2124"/>
    <cellStyle name="Currency 3 3 2 2 3 2" xfId="2125"/>
    <cellStyle name="Currency 3 3 2 2 4" xfId="2126"/>
    <cellStyle name="Currency 3 3 2 2 4 2" xfId="2127"/>
    <cellStyle name="Currency 3 3 2 2 5" xfId="2128"/>
    <cellStyle name="Currency 3 3 2 3" xfId="2129"/>
    <cellStyle name="Currency 3 3 2 3 2" xfId="2130"/>
    <cellStyle name="Currency 3 3 2 3 2 2" xfId="2131"/>
    <cellStyle name="Currency 3 3 2 3 3" xfId="2132"/>
    <cellStyle name="Currency 3 3 2 3 3 2" xfId="2133"/>
    <cellStyle name="Currency 3 3 2 3 4" xfId="2134"/>
    <cellStyle name="Currency 3 3 2 4" xfId="2135"/>
    <cellStyle name="Currency 3 3 2 4 2" xfId="2136"/>
    <cellStyle name="Currency 3 3 2 5" xfId="2137"/>
    <cellStyle name="Currency 3 3 2 5 2" xfId="2138"/>
    <cellStyle name="Currency 3 3 2 6" xfId="2139"/>
    <cellStyle name="Currency 3 3 3" xfId="2140"/>
    <cellStyle name="Currency 3 3 3 2" xfId="2141"/>
    <cellStyle name="Currency 3 3 3 2 2" xfId="2142"/>
    <cellStyle name="Currency 3 3 3 2 2 2" xfId="2143"/>
    <cellStyle name="Currency 3 3 3 2 3" xfId="2144"/>
    <cellStyle name="Currency 3 3 3 2 3 2" xfId="2145"/>
    <cellStyle name="Currency 3 3 3 2 4" xfId="2146"/>
    <cellStyle name="Currency 3 3 3 3" xfId="2147"/>
    <cellStyle name="Currency 3 3 3 3 2" xfId="2148"/>
    <cellStyle name="Currency 3 3 3 4" xfId="2149"/>
    <cellStyle name="Currency 3 3 3 4 2" xfId="2150"/>
    <cellStyle name="Currency 3 3 3 5" xfId="2151"/>
    <cellStyle name="Currency 3 3 4" xfId="2152"/>
    <cellStyle name="Currency 3 3 4 2" xfId="2153"/>
    <cellStyle name="Currency 3 3 4 2 2" xfId="2154"/>
    <cellStyle name="Currency 3 3 4 3" xfId="2155"/>
    <cellStyle name="Currency 3 3 4 3 2" xfId="2156"/>
    <cellStyle name="Currency 3 3 4 4" xfId="2157"/>
    <cellStyle name="Currency 3 3 5" xfId="2158"/>
    <cellStyle name="Currency 3 3 5 2" xfId="2159"/>
    <cellStyle name="Currency 3 3 6" xfId="2160"/>
    <cellStyle name="Currency 3 3 6 2" xfId="2161"/>
    <cellStyle name="Currency 3 3 7" xfId="2162"/>
    <cellStyle name="Currency 3 4" xfId="2163"/>
    <cellStyle name="Currency 3 4 2" xfId="2164"/>
    <cellStyle name="Currency 3 4 2 2" xfId="2165"/>
    <cellStyle name="Currency 3 4 2 2 2" xfId="2166"/>
    <cellStyle name="Currency 3 4 2 2 2 2" xfId="2167"/>
    <cellStyle name="Currency 3 4 2 2 2 2 2" xfId="2168"/>
    <cellStyle name="Currency 3 4 2 2 2 3" xfId="2169"/>
    <cellStyle name="Currency 3 4 2 2 2 3 2" xfId="2170"/>
    <cellStyle name="Currency 3 4 2 2 2 4" xfId="2171"/>
    <cellStyle name="Currency 3 4 2 2 3" xfId="2172"/>
    <cellStyle name="Currency 3 4 2 2 3 2" xfId="2173"/>
    <cellStyle name="Currency 3 4 2 2 4" xfId="2174"/>
    <cellStyle name="Currency 3 4 2 2 4 2" xfId="2175"/>
    <cellStyle name="Currency 3 4 2 2 5" xfId="2176"/>
    <cellStyle name="Currency 3 4 2 3" xfId="2177"/>
    <cellStyle name="Currency 3 4 2 3 2" xfId="2178"/>
    <cellStyle name="Currency 3 4 2 3 2 2" xfId="2179"/>
    <cellStyle name="Currency 3 4 2 3 3" xfId="2180"/>
    <cellStyle name="Currency 3 4 2 3 3 2" xfId="2181"/>
    <cellStyle name="Currency 3 4 2 3 4" xfId="2182"/>
    <cellStyle name="Currency 3 4 2 4" xfId="2183"/>
    <cellStyle name="Currency 3 4 2 4 2" xfId="2184"/>
    <cellStyle name="Currency 3 4 2 5" xfId="2185"/>
    <cellStyle name="Currency 3 4 2 5 2" xfId="2186"/>
    <cellStyle name="Currency 3 4 2 6" xfId="2187"/>
    <cellStyle name="Currency 3 4 3" xfId="2188"/>
    <cellStyle name="Currency 3 4 3 2" xfId="2189"/>
    <cellStyle name="Currency 3 4 3 2 2" xfId="2190"/>
    <cellStyle name="Currency 3 4 3 2 2 2" xfId="2191"/>
    <cellStyle name="Currency 3 4 3 2 3" xfId="2192"/>
    <cellStyle name="Currency 3 4 3 2 3 2" xfId="2193"/>
    <cellStyle name="Currency 3 4 3 2 4" xfId="2194"/>
    <cellStyle name="Currency 3 4 3 3" xfId="2195"/>
    <cellStyle name="Currency 3 4 3 3 2" xfId="2196"/>
    <cellStyle name="Currency 3 4 3 4" xfId="2197"/>
    <cellStyle name="Currency 3 4 3 4 2" xfId="2198"/>
    <cellStyle name="Currency 3 4 3 5" xfId="2199"/>
    <cellStyle name="Currency 3 4 4" xfId="2200"/>
    <cellStyle name="Currency 3 4 4 2" xfId="2201"/>
    <cellStyle name="Currency 3 4 4 2 2" xfId="2202"/>
    <cellStyle name="Currency 3 4 4 3" xfId="2203"/>
    <cellStyle name="Currency 3 4 4 3 2" xfId="2204"/>
    <cellStyle name="Currency 3 4 4 4" xfId="2205"/>
    <cellStyle name="Currency 3 4 5" xfId="2206"/>
    <cellStyle name="Currency 3 4 5 2" xfId="2207"/>
    <cellStyle name="Currency 3 4 6" xfId="2208"/>
    <cellStyle name="Currency 3 4 6 2" xfId="2209"/>
    <cellStyle name="Currency 3 4 7" xfId="2210"/>
    <cellStyle name="Currency 3 5" xfId="2211"/>
    <cellStyle name="Currency 3 5 2" xfId="2212"/>
    <cellStyle name="Currency 3 5 2 2" xfId="2213"/>
    <cellStyle name="Currency 3 5 2 2 2" xfId="2214"/>
    <cellStyle name="Currency 3 5 2 2 2 2" xfId="2215"/>
    <cellStyle name="Currency 3 5 2 2 3" xfId="2216"/>
    <cellStyle name="Currency 3 5 2 2 3 2" xfId="2217"/>
    <cellStyle name="Currency 3 5 2 2 4" xfId="2218"/>
    <cellStyle name="Currency 3 5 2 3" xfId="2219"/>
    <cellStyle name="Currency 3 5 2 3 2" xfId="2220"/>
    <cellStyle name="Currency 3 5 2 4" xfId="2221"/>
    <cellStyle name="Currency 3 5 2 4 2" xfId="2222"/>
    <cellStyle name="Currency 3 5 2 5" xfId="2223"/>
    <cellStyle name="Currency 3 5 3" xfId="2224"/>
    <cellStyle name="Currency 3 5 3 2" xfId="2225"/>
    <cellStyle name="Currency 3 5 3 2 2" xfId="2226"/>
    <cellStyle name="Currency 3 5 3 3" xfId="2227"/>
    <cellStyle name="Currency 3 5 3 3 2" xfId="2228"/>
    <cellStyle name="Currency 3 5 3 4" xfId="2229"/>
    <cellStyle name="Currency 3 5 4" xfId="2230"/>
    <cellStyle name="Currency 3 5 4 2" xfId="2231"/>
    <cellStyle name="Currency 3 5 5" xfId="2232"/>
    <cellStyle name="Currency 3 5 5 2" xfId="2233"/>
    <cellStyle name="Currency 3 5 6" xfId="2234"/>
    <cellStyle name="Currency 3 5 7" xfId="2235"/>
    <cellStyle name="Currency 3 6" xfId="2236"/>
    <cellStyle name="Currency 3 6 2" xfId="2237"/>
    <cellStyle name="Currency 3 6 2 2" xfId="2238"/>
    <cellStyle name="Currency 3 6 2 2 2" xfId="2239"/>
    <cellStyle name="Currency 3 6 2 3" xfId="2240"/>
    <cellStyle name="Currency 3 6 2 3 2" xfId="2241"/>
    <cellStyle name="Currency 3 6 2 4" xfId="2242"/>
    <cellStyle name="Currency 3 6 3" xfId="2243"/>
    <cellStyle name="Currency 3 6 3 2" xfId="2244"/>
    <cellStyle name="Currency 3 6 4" xfId="2245"/>
    <cellStyle name="Currency 3 6 4 2" xfId="2246"/>
    <cellStyle name="Currency 3 6 5" xfId="2247"/>
    <cellStyle name="Currency 3 7" xfId="2248"/>
    <cellStyle name="Currency 3 7 2" xfId="2249"/>
    <cellStyle name="Currency 3 7 2 2" xfId="2250"/>
    <cellStyle name="Currency 3 7 3" xfId="2251"/>
    <cellStyle name="Currency 3 7 3 2" xfId="2252"/>
    <cellStyle name="Currency 3 7 4" xfId="2253"/>
    <cellStyle name="Currency 3 8" xfId="2254"/>
    <cellStyle name="Currency 3 8 2" xfId="2255"/>
    <cellStyle name="Currency 3 9" xfId="2256"/>
    <cellStyle name="Currency 3 9 2" xfId="2257"/>
    <cellStyle name="Currency 4" xfId="2258"/>
    <cellStyle name="Currency 4 10" xfId="2259"/>
    <cellStyle name="Currency 4 11" xfId="2260"/>
    <cellStyle name="Currency 4 2" xfId="2261"/>
    <cellStyle name="Currency 4 2 2" xfId="2262"/>
    <cellStyle name="Currency 4 2 2 2" xfId="2263"/>
    <cellStyle name="Currency 4 2 2 2 2" xfId="2264"/>
    <cellStyle name="Currency 4 2 2 2 2 2" xfId="2265"/>
    <cellStyle name="Currency 4 2 2 2 2 2 2" xfId="2266"/>
    <cellStyle name="Currency 4 2 2 2 2 2 2 2" xfId="2267"/>
    <cellStyle name="Currency 4 2 2 2 2 2 3" xfId="2268"/>
    <cellStyle name="Currency 4 2 2 2 2 2 3 2" xfId="2269"/>
    <cellStyle name="Currency 4 2 2 2 2 2 4" xfId="2270"/>
    <cellStyle name="Currency 4 2 2 2 2 3" xfId="2271"/>
    <cellStyle name="Currency 4 2 2 2 2 3 2" xfId="2272"/>
    <cellStyle name="Currency 4 2 2 2 2 4" xfId="2273"/>
    <cellStyle name="Currency 4 2 2 2 2 4 2" xfId="2274"/>
    <cellStyle name="Currency 4 2 2 2 2 5" xfId="2275"/>
    <cellStyle name="Currency 4 2 2 2 3" xfId="2276"/>
    <cellStyle name="Currency 4 2 2 2 3 2" xfId="2277"/>
    <cellStyle name="Currency 4 2 2 2 3 2 2" xfId="2278"/>
    <cellStyle name="Currency 4 2 2 2 3 3" xfId="2279"/>
    <cellStyle name="Currency 4 2 2 2 3 3 2" xfId="2280"/>
    <cellStyle name="Currency 4 2 2 2 3 4" xfId="2281"/>
    <cellStyle name="Currency 4 2 2 2 4" xfId="2282"/>
    <cellStyle name="Currency 4 2 2 2 4 2" xfId="2283"/>
    <cellStyle name="Currency 4 2 2 2 5" xfId="2284"/>
    <cellStyle name="Currency 4 2 2 2 5 2" xfId="2285"/>
    <cellStyle name="Currency 4 2 2 2 6" xfId="2286"/>
    <cellStyle name="Currency 4 2 2 3" xfId="2287"/>
    <cellStyle name="Currency 4 2 2 3 2" xfId="2288"/>
    <cellStyle name="Currency 4 2 2 3 2 2" xfId="2289"/>
    <cellStyle name="Currency 4 2 2 3 2 2 2" xfId="2290"/>
    <cellStyle name="Currency 4 2 2 3 2 3" xfId="2291"/>
    <cellStyle name="Currency 4 2 2 3 2 3 2" xfId="2292"/>
    <cellStyle name="Currency 4 2 2 3 2 4" xfId="2293"/>
    <cellStyle name="Currency 4 2 2 3 3" xfId="2294"/>
    <cellStyle name="Currency 4 2 2 3 3 2" xfId="2295"/>
    <cellStyle name="Currency 4 2 2 3 4" xfId="2296"/>
    <cellStyle name="Currency 4 2 2 3 4 2" xfId="2297"/>
    <cellStyle name="Currency 4 2 2 3 5" xfId="2298"/>
    <cellStyle name="Currency 4 2 2 4" xfId="2299"/>
    <cellStyle name="Currency 4 2 2 4 2" xfId="2300"/>
    <cellStyle name="Currency 4 2 2 4 2 2" xfId="2301"/>
    <cellStyle name="Currency 4 2 2 4 3" xfId="2302"/>
    <cellStyle name="Currency 4 2 2 4 3 2" xfId="2303"/>
    <cellStyle name="Currency 4 2 2 4 4" xfId="2304"/>
    <cellStyle name="Currency 4 2 2 5" xfId="2305"/>
    <cellStyle name="Currency 4 2 2 5 2" xfId="2306"/>
    <cellStyle name="Currency 4 2 2 6" xfId="2307"/>
    <cellStyle name="Currency 4 2 2 6 2" xfId="2308"/>
    <cellStyle name="Currency 4 2 2 7" xfId="2309"/>
    <cellStyle name="Currency 4 2 3" xfId="2310"/>
    <cellStyle name="Currency 4 2 3 2" xfId="2311"/>
    <cellStyle name="Currency 4 2 3 2 2" xfId="2312"/>
    <cellStyle name="Currency 4 2 3 2 2 2" xfId="2313"/>
    <cellStyle name="Currency 4 2 3 2 2 2 2" xfId="2314"/>
    <cellStyle name="Currency 4 2 3 2 2 3" xfId="2315"/>
    <cellStyle name="Currency 4 2 3 2 2 3 2" xfId="2316"/>
    <cellStyle name="Currency 4 2 3 2 2 4" xfId="2317"/>
    <cellStyle name="Currency 4 2 3 2 3" xfId="2318"/>
    <cellStyle name="Currency 4 2 3 2 3 2" xfId="2319"/>
    <cellStyle name="Currency 4 2 3 2 4" xfId="2320"/>
    <cellStyle name="Currency 4 2 3 2 4 2" xfId="2321"/>
    <cellStyle name="Currency 4 2 3 2 5" xfId="2322"/>
    <cellStyle name="Currency 4 2 3 3" xfId="2323"/>
    <cellStyle name="Currency 4 2 3 3 2" xfId="2324"/>
    <cellStyle name="Currency 4 2 3 3 2 2" xfId="2325"/>
    <cellStyle name="Currency 4 2 3 3 3" xfId="2326"/>
    <cellStyle name="Currency 4 2 3 3 3 2" xfId="2327"/>
    <cellStyle name="Currency 4 2 3 3 4" xfId="2328"/>
    <cellStyle name="Currency 4 2 3 4" xfId="2329"/>
    <cellStyle name="Currency 4 2 3 4 2" xfId="2330"/>
    <cellStyle name="Currency 4 2 3 5" xfId="2331"/>
    <cellStyle name="Currency 4 2 3 5 2" xfId="2332"/>
    <cellStyle name="Currency 4 2 3 6" xfId="2333"/>
    <cellStyle name="Currency 4 2 4" xfId="2334"/>
    <cellStyle name="Currency 4 2 4 2" xfId="2335"/>
    <cellStyle name="Currency 4 2 4 2 2" xfId="2336"/>
    <cellStyle name="Currency 4 2 4 2 2 2" xfId="2337"/>
    <cellStyle name="Currency 4 2 4 2 3" xfId="2338"/>
    <cellStyle name="Currency 4 2 4 2 3 2" xfId="2339"/>
    <cellStyle name="Currency 4 2 4 2 4" xfId="2340"/>
    <cellStyle name="Currency 4 2 4 3" xfId="2341"/>
    <cellStyle name="Currency 4 2 4 3 2" xfId="2342"/>
    <cellStyle name="Currency 4 2 4 4" xfId="2343"/>
    <cellStyle name="Currency 4 2 4 4 2" xfId="2344"/>
    <cellStyle name="Currency 4 2 4 5" xfId="2345"/>
    <cellStyle name="Currency 4 2 5" xfId="2346"/>
    <cellStyle name="Currency 4 2 5 2" xfId="2347"/>
    <cellStyle name="Currency 4 2 5 2 2" xfId="2348"/>
    <cellStyle name="Currency 4 2 5 3" xfId="2349"/>
    <cellStyle name="Currency 4 2 5 3 2" xfId="2350"/>
    <cellStyle name="Currency 4 2 5 4" xfId="2351"/>
    <cellStyle name="Currency 4 2 6" xfId="2352"/>
    <cellStyle name="Currency 4 2 6 2" xfId="2353"/>
    <cellStyle name="Currency 4 2 7" xfId="2354"/>
    <cellStyle name="Currency 4 2 7 2" xfId="2355"/>
    <cellStyle name="Currency 4 2 8" xfId="2356"/>
    <cellStyle name="Currency 4 3" xfId="2357"/>
    <cellStyle name="Currency 4 3 2" xfId="2358"/>
    <cellStyle name="Currency 4 3 2 2" xfId="2359"/>
    <cellStyle name="Currency 4 3 2 2 2" xfId="2360"/>
    <cellStyle name="Currency 4 3 2 2 2 2" xfId="2361"/>
    <cellStyle name="Currency 4 3 2 2 2 2 2" xfId="2362"/>
    <cellStyle name="Currency 4 3 2 2 2 3" xfId="2363"/>
    <cellStyle name="Currency 4 3 2 2 2 3 2" xfId="2364"/>
    <cellStyle name="Currency 4 3 2 2 2 4" xfId="2365"/>
    <cellStyle name="Currency 4 3 2 2 3" xfId="2366"/>
    <cellStyle name="Currency 4 3 2 2 3 2" xfId="2367"/>
    <cellStyle name="Currency 4 3 2 2 4" xfId="2368"/>
    <cellStyle name="Currency 4 3 2 2 4 2" xfId="2369"/>
    <cellStyle name="Currency 4 3 2 2 5" xfId="2370"/>
    <cellStyle name="Currency 4 3 2 3" xfId="2371"/>
    <cellStyle name="Currency 4 3 2 3 2" xfId="2372"/>
    <cellStyle name="Currency 4 3 2 3 2 2" xfId="2373"/>
    <cellStyle name="Currency 4 3 2 3 3" xfId="2374"/>
    <cellStyle name="Currency 4 3 2 3 3 2" xfId="2375"/>
    <cellStyle name="Currency 4 3 2 3 4" xfId="2376"/>
    <cellStyle name="Currency 4 3 2 4" xfId="2377"/>
    <cellStyle name="Currency 4 3 2 4 2" xfId="2378"/>
    <cellStyle name="Currency 4 3 2 5" xfId="2379"/>
    <cellStyle name="Currency 4 3 2 5 2" xfId="2380"/>
    <cellStyle name="Currency 4 3 2 6" xfId="2381"/>
    <cellStyle name="Currency 4 3 3" xfId="2382"/>
    <cellStyle name="Currency 4 3 3 2" xfId="2383"/>
    <cellStyle name="Currency 4 3 3 2 2" xfId="2384"/>
    <cellStyle name="Currency 4 3 3 2 2 2" xfId="2385"/>
    <cellStyle name="Currency 4 3 3 2 3" xfId="2386"/>
    <cellStyle name="Currency 4 3 3 2 3 2" xfId="2387"/>
    <cellStyle name="Currency 4 3 3 2 4" xfId="2388"/>
    <cellStyle name="Currency 4 3 3 3" xfId="2389"/>
    <cellStyle name="Currency 4 3 3 3 2" xfId="2390"/>
    <cellStyle name="Currency 4 3 3 4" xfId="2391"/>
    <cellStyle name="Currency 4 3 3 4 2" xfId="2392"/>
    <cellStyle name="Currency 4 3 3 5" xfId="2393"/>
    <cellStyle name="Currency 4 3 4" xfId="2394"/>
    <cellStyle name="Currency 4 3 4 2" xfId="2395"/>
    <cellStyle name="Currency 4 3 4 2 2" xfId="2396"/>
    <cellStyle name="Currency 4 3 4 3" xfId="2397"/>
    <cellStyle name="Currency 4 3 4 3 2" xfId="2398"/>
    <cellStyle name="Currency 4 3 4 4" xfId="2399"/>
    <cellStyle name="Currency 4 3 5" xfId="2400"/>
    <cellStyle name="Currency 4 3 5 2" xfId="2401"/>
    <cellStyle name="Currency 4 3 6" xfId="2402"/>
    <cellStyle name="Currency 4 3 6 2" xfId="2403"/>
    <cellStyle name="Currency 4 3 7" xfId="2404"/>
    <cellStyle name="Currency 4 4" xfId="2405"/>
    <cellStyle name="Currency 4 4 2" xfId="2406"/>
    <cellStyle name="Currency 4 4 2 2" xfId="2407"/>
    <cellStyle name="Currency 4 4 2 2 2" xfId="2408"/>
    <cellStyle name="Currency 4 4 2 2 2 2" xfId="2409"/>
    <cellStyle name="Currency 4 4 2 2 2 2 2" xfId="2410"/>
    <cellStyle name="Currency 4 4 2 2 2 3" xfId="2411"/>
    <cellStyle name="Currency 4 4 2 2 2 3 2" xfId="2412"/>
    <cellStyle name="Currency 4 4 2 2 2 4" xfId="2413"/>
    <cellStyle name="Currency 4 4 2 2 3" xfId="2414"/>
    <cellStyle name="Currency 4 4 2 2 3 2" xfId="2415"/>
    <cellStyle name="Currency 4 4 2 2 4" xfId="2416"/>
    <cellStyle name="Currency 4 4 2 2 4 2" xfId="2417"/>
    <cellStyle name="Currency 4 4 2 2 5" xfId="2418"/>
    <cellStyle name="Currency 4 4 2 3" xfId="2419"/>
    <cellStyle name="Currency 4 4 2 3 2" xfId="2420"/>
    <cellStyle name="Currency 4 4 2 3 2 2" xfId="2421"/>
    <cellStyle name="Currency 4 4 2 3 3" xfId="2422"/>
    <cellStyle name="Currency 4 4 2 3 3 2" xfId="2423"/>
    <cellStyle name="Currency 4 4 2 3 4" xfId="2424"/>
    <cellStyle name="Currency 4 4 2 4" xfId="2425"/>
    <cellStyle name="Currency 4 4 2 4 2" xfId="2426"/>
    <cellStyle name="Currency 4 4 2 5" xfId="2427"/>
    <cellStyle name="Currency 4 4 2 5 2" xfId="2428"/>
    <cellStyle name="Currency 4 4 2 6" xfId="2429"/>
    <cellStyle name="Currency 4 4 3" xfId="2430"/>
    <cellStyle name="Currency 4 4 3 2" xfId="2431"/>
    <cellStyle name="Currency 4 4 3 2 2" xfId="2432"/>
    <cellStyle name="Currency 4 4 3 2 2 2" xfId="2433"/>
    <cellStyle name="Currency 4 4 3 2 3" xfId="2434"/>
    <cellStyle name="Currency 4 4 3 2 3 2" xfId="2435"/>
    <cellStyle name="Currency 4 4 3 2 4" xfId="2436"/>
    <cellStyle name="Currency 4 4 3 3" xfId="2437"/>
    <cellStyle name="Currency 4 4 3 3 2" xfId="2438"/>
    <cellStyle name="Currency 4 4 3 4" xfId="2439"/>
    <cellStyle name="Currency 4 4 3 4 2" xfId="2440"/>
    <cellStyle name="Currency 4 4 3 5" xfId="2441"/>
    <cellStyle name="Currency 4 4 4" xfId="2442"/>
    <cellStyle name="Currency 4 4 4 2" xfId="2443"/>
    <cellStyle name="Currency 4 4 4 2 2" xfId="2444"/>
    <cellStyle name="Currency 4 4 4 3" xfId="2445"/>
    <cellStyle name="Currency 4 4 4 3 2" xfId="2446"/>
    <cellStyle name="Currency 4 4 4 4" xfId="2447"/>
    <cellStyle name="Currency 4 4 5" xfId="2448"/>
    <cellStyle name="Currency 4 4 5 2" xfId="2449"/>
    <cellStyle name="Currency 4 4 6" xfId="2450"/>
    <cellStyle name="Currency 4 4 6 2" xfId="2451"/>
    <cellStyle name="Currency 4 4 7" xfId="2452"/>
    <cellStyle name="Currency 4 5" xfId="2453"/>
    <cellStyle name="Currency 4 5 2" xfId="2454"/>
    <cellStyle name="Currency 4 5 2 2" xfId="2455"/>
    <cellStyle name="Currency 4 5 2 2 2" xfId="2456"/>
    <cellStyle name="Currency 4 5 2 2 2 2" xfId="2457"/>
    <cellStyle name="Currency 4 5 2 2 3" xfId="2458"/>
    <cellStyle name="Currency 4 5 2 2 3 2" xfId="2459"/>
    <cellStyle name="Currency 4 5 2 2 4" xfId="2460"/>
    <cellStyle name="Currency 4 5 2 3" xfId="2461"/>
    <cellStyle name="Currency 4 5 2 3 2" xfId="2462"/>
    <cellStyle name="Currency 4 5 2 4" xfId="2463"/>
    <cellStyle name="Currency 4 5 2 4 2" xfId="2464"/>
    <cellStyle name="Currency 4 5 2 5" xfId="2465"/>
    <cellStyle name="Currency 4 5 3" xfId="2466"/>
    <cellStyle name="Currency 4 5 3 2" xfId="2467"/>
    <cellStyle name="Currency 4 5 3 2 2" xfId="2468"/>
    <cellStyle name="Currency 4 5 3 3" xfId="2469"/>
    <cellStyle name="Currency 4 5 3 3 2" xfId="2470"/>
    <cellStyle name="Currency 4 5 3 4" xfId="2471"/>
    <cellStyle name="Currency 4 5 4" xfId="2472"/>
    <cellStyle name="Currency 4 5 4 2" xfId="2473"/>
    <cellStyle name="Currency 4 5 5" xfId="2474"/>
    <cellStyle name="Currency 4 5 5 2" xfId="2475"/>
    <cellStyle name="Currency 4 5 6" xfId="2476"/>
    <cellStyle name="Currency 4 6" xfId="2477"/>
    <cellStyle name="Currency 4 6 2" xfId="2478"/>
    <cellStyle name="Currency 4 6 2 2" xfId="2479"/>
    <cellStyle name="Currency 4 6 2 2 2" xfId="2480"/>
    <cellStyle name="Currency 4 6 2 3" xfId="2481"/>
    <cellStyle name="Currency 4 6 2 3 2" xfId="2482"/>
    <cellStyle name="Currency 4 6 2 4" xfId="2483"/>
    <cellStyle name="Currency 4 6 3" xfId="2484"/>
    <cellStyle name="Currency 4 6 3 2" xfId="2485"/>
    <cellStyle name="Currency 4 6 4" xfId="2486"/>
    <cellStyle name="Currency 4 6 4 2" xfId="2487"/>
    <cellStyle name="Currency 4 6 5" xfId="2488"/>
    <cellStyle name="Currency 4 7" xfId="2489"/>
    <cellStyle name="Currency 4 7 2" xfId="2490"/>
    <cellStyle name="Currency 4 7 2 2" xfId="2491"/>
    <cellStyle name="Currency 4 7 3" xfId="2492"/>
    <cellStyle name="Currency 4 7 3 2" xfId="2493"/>
    <cellStyle name="Currency 4 7 4" xfId="2494"/>
    <cellStyle name="Currency 4 8" xfId="2495"/>
    <cellStyle name="Currency 4 8 2" xfId="2496"/>
    <cellStyle name="Currency 4 9" xfId="2497"/>
    <cellStyle name="Currency 4 9 2" xfId="2498"/>
    <cellStyle name="Currency 5" xfId="2499"/>
    <cellStyle name="Currency 5 2" xfId="2500"/>
    <cellStyle name="Currency 5 2 2" xfId="2501"/>
    <cellStyle name="Currency 5 2 2 2" xfId="2502"/>
    <cellStyle name="Currency 5 2 2 2 2" xfId="2503"/>
    <cellStyle name="Currency 5 2 2 2 2 2" xfId="2504"/>
    <cellStyle name="Currency 5 2 2 2 2 2 2" xfId="2505"/>
    <cellStyle name="Currency 5 2 2 2 2 3" xfId="2506"/>
    <cellStyle name="Currency 5 2 2 2 2 3 2" xfId="2507"/>
    <cellStyle name="Currency 5 2 2 2 2 4" xfId="2508"/>
    <cellStyle name="Currency 5 2 2 2 3" xfId="2509"/>
    <cellStyle name="Currency 5 2 2 2 3 2" xfId="2510"/>
    <cellStyle name="Currency 5 2 2 2 4" xfId="2511"/>
    <cellStyle name="Currency 5 2 2 2 4 2" xfId="2512"/>
    <cellStyle name="Currency 5 2 2 2 5" xfId="2513"/>
    <cellStyle name="Currency 5 2 2 3" xfId="2514"/>
    <cellStyle name="Currency 5 2 2 3 2" xfId="2515"/>
    <cellStyle name="Currency 5 2 2 3 2 2" xfId="2516"/>
    <cellStyle name="Currency 5 2 2 3 3" xfId="2517"/>
    <cellStyle name="Currency 5 2 2 3 3 2" xfId="2518"/>
    <cellStyle name="Currency 5 2 2 3 4" xfId="2519"/>
    <cellStyle name="Currency 5 2 2 4" xfId="2520"/>
    <cellStyle name="Currency 5 2 2 4 2" xfId="2521"/>
    <cellStyle name="Currency 5 2 2 5" xfId="2522"/>
    <cellStyle name="Currency 5 2 2 5 2" xfId="2523"/>
    <cellStyle name="Currency 5 2 2 6" xfId="2524"/>
    <cellStyle name="Currency 5 2 3" xfId="2525"/>
    <cellStyle name="Currency 5 2 3 2" xfId="2526"/>
    <cellStyle name="Currency 5 2 3 2 2" xfId="2527"/>
    <cellStyle name="Currency 5 2 3 2 2 2" xfId="2528"/>
    <cellStyle name="Currency 5 2 3 2 3" xfId="2529"/>
    <cellStyle name="Currency 5 2 3 2 3 2" xfId="2530"/>
    <cellStyle name="Currency 5 2 3 2 4" xfId="2531"/>
    <cellStyle name="Currency 5 2 3 3" xfId="2532"/>
    <cellStyle name="Currency 5 2 3 3 2" xfId="2533"/>
    <cellStyle name="Currency 5 2 3 4" xfId="2534"/>
    <cellStyle name="Currency 5 2 3 4 2" xfId="2535"/>
    <cellStyle name="Currency 5 2 3 5" xfId="2536"/>
    <cellStyle name="Currency 5 2 4" xfId="2537"/>
    <cellStyle name="Currency 5 2 4 2" xfId="2538"/>
    <cellStyle name="Currency 5 2 4 2 2" xfId="2539"/>
    <cellStyle name="Currency 5 2 4 3" xfId="2540"/>
    <cellStyle name="Currency 5 2 4 3 2" xfId="2541"/>
    <cellStyle name="Currency 5 2 4 4" xfId="2542"/>
    <cellStyle name="Currency 5 2 5" xfId="2543"/>
    <cellStyle name="Currency 5 2 5 2" xfId="2544"/>
    <cellStyle name="Currency 5 2 6" xfId="2545"/>
    <cellStyle name="Currency 5 2 6 2" xfId="2546"/>
    <cellStyle name="Currency 5 2 7" xfId="2547"/>
    <cellStyle name="Currency 5 3" xfId="2548"/>
    <cellStyle name="Currency 5 3 2" xfId="2549"/>
    <cellStyle name="Currency 5 3 2 2" xfId="2550"/>
    <cellStyle name="Currency 5 3 2 2 2" xfId="2551"/>
    <cellStyle name="Currency 5 3 2 2 2 2" xfId="2552"/>
    <cellStyle name="Currency 5 3 2 2 2 2 2" xfId="2553"/>
    <cellStyle name="Currency 5 3 2 2 2 3" xfId="2554"/>
    <cellStyle name="Currency 5 3 2 2 2 3 2" xfId="2555"/>
    <cellStyle name="Currency 5 3 2 2 2 4" xfId="2556"/>
    <cellStyle name="Currency 5 3 2 2 3" xfId="2557"/>
    <cellStyle name="Currency 5 3 2 2 3 2" xfId="2558"/>
    <cellStyle name="Currency 5 3 2 2 4" xfId="2559"/>
    <cellStyle name="Currency 5 3 2 2 4 2" xfId="2560"/>
    <cellStyle name="Currency 5 3 2 2 5" xfId="2561"/>
    <cellStyle name="Currency 5 3 2 3" xfId="2562"/>
    <cellStyle name="Currency 5 3 2 3 2" xfId="2563"/>
    <cellStyle name="Currency 5 3 2 3 2 2" xfId="2564"/>
    <cellStyle name="Currency 5 3 2 3 3" xfId="2565"/>
    <cellStyle name="Currency 5 3 2 3 3 2" xfId="2566"/>
    <cellStyle name="Currency 5 3 2 3 4" xfId="2567"/>
    <cellStyle name="Currency 5 3 2 4" xfId="2568"/>
    <cellStyle name="Currency 5 3 2 4 2" xfId="2569"/>
    <cellStyle name="Currency 5 3 2 5" xfId="2570"/>
    <cellStyle name="Currency 5 3 2 5 2" xfId="2571"/>
    <cellStyle name="Currency 5 3 2 6" xfId="2572"/>
    <cellStyle name="Currency 5 3 3" xfId="2573"/>
    <cellStyle name="Currency 5 3 3 2" xfId="2574"/>
    <cellStyle name="Currency 5 3 3 2 2" xfId="2575"/>
    <cellStyle name="Currency 5 3 3 2 2 2" xfId="2576"/>
    <cellStyle name="Currency 5 3 3 2 3" xfId="2577"/>
    <cellStyle name="Currency 5 3 3 2 3 2" xfId="2578"/>
    <cellStyle name="Currency 5 3 3 2 4" xfId="2579"/>
    <cellStyle name="Currency 5 3 3 3" xfId="2580"/>
    <cellStyle name="Currency 5 3 3 3 2" xfId="2581"/>
    <cellStyle name="Currency 5 3 3 4" xfId="2582"/>
    <cellStyle name="Currency 5 3 3 4 2" xfId="2583"/>
    <cellStyle name="Currency 5 3 3 5" xfId="2584"/>
    <cellStyle name="Currency 5 3 4" xfId="2585"/>
    <cellStyle name="Currency 5 3 4 2" xfId="2586"/>
    <cellStyle name="Currency 5 3 4 2 2" xfId="2587"/>
    <cellStyle name="Currency 5 3 4 3" xfId="2588"/>
    <cellStyle name="Currency 5 3 4 3 2" xfId="2589"/>
    <cellStyle name="Currency 5 3 4 4" xfId="2590"/>
    <cellStyle name="Currency 5 3 5" xfId="2591"/>
    <cellStyle name="Currency 5 3 5 2" xfId="2592"/>
    <cellStyle name="Currency 5 3 6" xfId="2593"/>
    <cellStyle name="Currency 5 3 6 2" xfId="2594"/>
    <cellStyle name="Currency 5 3 7" xfId="2595"/>
    <cellStyle name="Currency 5 4" xfId="2596"/>
    <cellStyle name="Currency 5 4 2" xfId="2597"/>
    <cellStyle name="Currency 5 4 2 2" xfId="2598"/>
    <cellStyle name="Currency 5 4 2 2 2" xfId="2599"/>
    <cellStyle name="Currency 5 4 2 2 2 2" xfId="2600"/>
    <cellStyle name="Currency 5 4 2 2 3" xfId="2601"/>
    <cellStyle name="Currency 5 4 2 2 3 2" xfId="2602"/>
    <cellStyle name="Currency 5 4 2 2 4" xfId="2603"/>
    <cellStyle name="Currency 5 4 2 3" xfId="2604"/>
    <cellStyle name="Currency 5 4 2 3 2" xfId="2605"/>
    <cellStyle name="Currency 5 4 2 4" xfId="2606"/>
    <cellStyle name="Currency 5 4 2 4 2" xfId="2607"/>
    <cellStyle name="Currency 5 4 2 5" xfId="2608"/>
    <cellStyle name="Currency 5 4 3" xfId="2609"/>
    <cellStyle name="Currency 5 4 3 2" xfId="2610"/>
    <cellStyle name="Currency 5 4 3 2 2" xfId="2611"/>
    <cellStyle name="Currency 5 4 3 3" xfId="2612"/>
    <cellStyle name="Currency 5 4 3 3 2" xfId="2613"/>
    <cellStyle name="Currency 5 4 3 4" xfId="2614"/>
    <cellStyle name="Currency 5 4 4" xfId="2615"/>
    <cellStyle name="Currency 5 4 4 2" xfId="2616"/>
    <cellStyle name="Currency 5 4 5" xfId="2617"/>
    <cellStyle name="Currency 5 4 5 2" xfId="2618"/>
    <cellStyle name="Currency 5 4 6" xfId="2619"/>
    <cellStyle name="Currency 5 5" xfId="2620"/>
    <cellStyle name="Currency 5 5 2" xfId="2621"/>
    <cellStyle name="Currency 5 5 2 2" xfId="2622"/>
    <cellStyle name="Currency 5 5 2 2 2" xfId="2623"/>
    <cellStyle name="Currency 5 5 2 3" xfId="2624"/>
    <cellStyle name="Currency 5 5 2 3 2" xfId="2625"/>
    <cellStyle name="Currency 5 5 2 4" xfId="2626"/>
    <cellStyle name="Currency 5 5 3" xfId="2627"/>
    <cellStyle name="Currency 5 5 3 2" xfId="2628"/>
    <cellStyle name="Currency 5 5 4" xfId="2629"/>
    <cellStyle name="Currency 5 5 4 2" xfId="2630"/>
    <cellStyle name="Currency 5 5 5" xfId="2631"/>
    <cellStyle name="Currency 5 6" xfId="2632"/>
    <cellStyle name="Currency 5 6 2" xfId="2633"/>
    <cellStyle name="Currency 5 6 2 2" xfId="2634"/>
    <cellStyle name="Currency 5 6 3" xfId="2635"/>
    <cellStyle name="Currency 5 6 3 2" xfId="2636"/>
    <cellStyle name="Currency 5 6 4" xfId="2637"/>
    <cellStyle name="Currency 5 7" xfId="2638"/>
    <cellStyle name="Currency 5 7 2" xfId="2639"/>
    <cellStyle name="Currency 5 8" xfId="2640"/>
    <cellStyle name="Currency 5 8 2" xfId="2641"/>
    <cellStyle name="Currency 5 9" xfId="2642"/>
    <cellStyle name="Currency 6" xfId="2643"/>
    <cellStyle name="Currency 6 2" xfId="2644"/>
    <cellStyle name="Currency 6 3" xfId="2645"/>
    <cellStyle name="Currency 6 4" xfId="2646"/>
    <cellStyle name="Currency 7" xfId="2647"/>
    <cellStyle name="Currency 7 2" xfId="2648"/>
    <cellStyle name="Currency 8" xfId="2649"/>
    <cellStyle name="Currency 8 2" xfId="2650"/>
    <cellStyle name="Currency 8 2 2" xfId="2651"/>
    <cellStyle name="Currency 8 2 2 2" xfId="2652"/>
    <cellStyle name="Currency 8 2 2 2 2" xfId="2653"/>
    <cellStyle name="Currency 8 2 2 2 2 2" xfId="2654"/>
    <cellStyle name="Currency 8 2 2 2 2 2 2" xfId="2655"/>
    <cellStyle name="Currency 8 2 2 2 2 3" xfId="2656"/>
    <cellStyle name="Currency 8 2 2 2 2 3 2" xfId="2657"/>
    <cellStyle name="Currency 8 2 2 2 2 4" xfId="2658"/>
    <cellStyle name="Currency 8 2 2 2 3" xfId="2659"/>
    <cellStyle name="Currency 8 2 2 2 3 2" xfId="2660"/>
    <cellStyle name="Currency 8 2 2 2 4" xfId="2661"/>
    <cellStyle name="Currency 8 2 2 2 4 2" xfId="2662"/>
    <cellStyle name="Currency 8 2 2 2 5" xfId="2663"/>
    <cellStyle name="Currency 8 2 2 3" xfId="2664"/>
    <cellStyle name="Currency 8 2 2 3 2" xfId="2665"/>
    <cellStyle name="Currency 8 2 2 3 2 2" xfId="2666"/>
    <cellStyle name="Currency 8 2 2 3 3" xfId="2667"/>
    <cellStyle name="Currency 8 2 2 3 3 2" xfId="2668"/>
    <cellStyle name="Currency 8 2 2 3 4" xfId="2669"/>
    <cellStyle name="Currency 8 2 2 4" xfId="2670"/>
    <cellStyle name="Currency 8 2 2 4 2" xfId="2671"/>
    <cellStyle name="Currency 8 2 2 5" xfId="2672"/>
    <cellStyle name="Currency 8 2 2 5 2" xfId="2673"/>
    <cellStyle name="Currency 8 2 2 6" xfId="2674"/>
    <cellStyle name="Currency 8 2 3" xfId="2675"/>
    <cellStyle name="Currency 8 2 3 2" xfId="2676"/>
    <cellStyle name="Currency 8 2 3 2 2" xfId="2677"/>
    <cellStyle name="Currency 8 2 3 2 2 2" xfId="2678"/>
    <cellStyle name="Currency 8 2 3 2 3" xfId="2679"/>
    <cellStyle name="Currency 8 2 3 2 3 2" xfId="2680"/>
    <cellStyle name="Currency 8 2 3 2 4" xfId="2681"/>
    <cellStyle name="Currency 8 2 3 3" xfId="2682"/>
    <cellStyle name="Currency 8 2 3 3 2" xfId="2683"/>
    <cellStyle name="Currency 8 2 3 4" xfId="2684"/>
    <cellStyle name="Currency 8 2 3 4 2" xfId="2685"/>
    <cellStyle name="Currency 8 2 3 5" xfId="2686"/>
    <cellStyle name="Currency 8 2 4" xfId="2687"/>
    <cellStyle name="Currency 8 2 4 2" xfId="2688"/>
    <cellStyle name="Currency 8 2 4 2 2" xfId="2689"/>
    <cellStyle name="Currency 8 2 4 3" xfId="2690"/>
    <cellStyle name="Currency 8 2 4 3 2" xfId="2691"/>
    <cellStyle name="Currency 8 2 4 4" xfId="2692"/>
    <cellStyle name="Currency 8 2 5" xfId="2693"/>
    <cellStyle name="Currency 8 2 5 2" xfId="2694"/>
    <cellStyle name="Currency 8 2 6" xfId="2695"/>
    <cellStyle name="Currency 8 2 6 2" xfId="2696"/>
    <cellStyle name="Currency 8 2 7" xfId="2697"/>
    <cellStyle name="Currency 8 3" xfId="2698"/>
    <cellStyle name="Currency 8 3 2" xfId="2699"/>
    <cellStyle name="Currency 8 3 2 2" xfId="2700"/>
    <cellStyle name="Currency 8 3 2 2 2" xfId="2701"/>
    <cellStyle name="Currency 8 3 2 2 2 2" xfId="2702"/>
    <cellStyle name="Currency 8 3 2 2 3" xfId="2703"/>
    <cellStyle name="Currency 8 3 2 2 3 2" xfId="2704"/>
    <cellStyle name="Currency 8 3 2 2 4" xfId="2705"/>
    <cellStyle name="Currency 8 3 2 3" xfId="2706"/>
    <cellStyle name="Currency 8 3 2 3 2" xfId="2707"/>
    <cellStyle name="Currency 8 3 2 4" xfId="2708"/>
    <cellStyle name="Currency 8 3 2 4 2" xfId="2709"/>
    <cellStyle name="Currency 8 3 2 5" xfId="2710"/>
    <cellStyle name="Currency 8 3 3" xfId="2711"/>
    <cellStyle name="Currency 8 3 3 2" xfId="2712"/>
    <cellStyle name="Currency 8 3 3 2 2" xfId="2713"/>
    <cellStyle name="Currency 8 3 3 3" xfId="2714"/>
    <cellStyle name="Currency 8 3 3 3 2" xfId="2715"/>
    <cellStyle name="Currency 8 3 3 4" xfId="2716"/>
    <cellStyle name="Currency 8 3 4" xfId="2717"/>
    <cellStyle name="Currency 8 3 4 2" xfId="2718"/>
    <cellStyle name="Currency 8 3 5" xfId="2719"/>
    <cellStyle name="Currency 8 3 5 2" xfId="2720"/>
    <cellStyle name="Currency 8 3 6" xfId="2721"/>
    <cellStyle name="Currency 8 3 7" xfId="2722"/>
    <cellStyle name="Currency 8 4" xfId="2723"/>
    <cellStyle name="Currency 8 4 2" xfId="2724"/>
    <cellStyle name="Currency 8 4 2 2" xfId="2725"/>
    <cellStyle name="Currency 8 4 2 2 2" xfId="2726"/>
    <cellStyle name="Currency 8 4 2 3" xfId="2727"/>
    <cellStyle name="Currency 8 4 2 3 2" xfId="2728"/>
    <cellStyle name="Currency 8 4 2 4" xfId="2729"/>
    <cellStyle name="Currency 8 4 3" xfId="2730"/>
    <cellStyle name="Currency 8 4 3 2" xfId="2731"/>
    <cellStyle name="Currency 8 4 4" xfId="2732"/>
    <cellStyle name="Currency 8 4 4 2" xfId="2733"/>
    <cellStyle name="Currency 8 4 5" xfId="2734"/>
    <cellStyle name="Currency 8 5" xfId="2735"/>
    <cellStyle name="Currency 8 5 2" xfId="2736"/>
    <cellStyle name="Currency 8 5 2 2" xfId="2737"/>
    <cellStyle name="Currency 8 5 3" xfId="2738"/>
    <cellStyle name="Currency 8 5 3 2" xfId="2739"/>
    <cellStyle name="Currency 8 5 4" xfId="2740"/>
    <cellStyle name="Currency 8 6" xfId="2741"/>
    <cellStyle name="Currency 8 6 2" xfId="2742"/>
    <cellStyle name="Currency 8 7" xfId="2743"/>
    <cellStyle name="Currency 8 7 2" xfId="2744"/>
    <cellStyle name="Currency 8 8" xfId="2745"/>
    <cellStyle name="Currency 9" xfId="2746"/>
    <cellStyle name="Currency 9 2" xfId="2747"/>
    <cellStyle name="Currency 9 2 2" xfId="2748"/>
    <cellStyle name="Currency 9 2 2 2" xfId="2749"/>
    <cellStyle name="Currency 9 2 2 2 2" xfId="2750"/>
    <cellStyle name="Currency 9 2 2 2 2 2" xfId="2751"/>
    <cellStyle name="Currency 9 2 2 2 3" xfId="2752"/>
    <cellStyle name="Currency 9 2 2 2 3 2" xfId="2753"/>
    <cellStyle name="Currency 9 2 2 2 4" xfId="2754"/>
    <cellStyle name="Currency 9 2 2 3" xfId="2755"/>
    <cellStyle name="Currency 9 2 2 3 2" xfId="2756"/>
    <cellStyle name="Currency 9 2 2 4" xfId="2757"/>
    <cellStyle name="Currency 9 2 2 4 2" xfId="2758"/>
    <cellStyle name="Currency 9 2 2 5" xfId="2759"/>
    <cellStyle name="Currency 9 2 3" xfId="2760"/>
    <cellStyle name="Currency 9 2 3 2" xfId="2761"/>
    <cellStyle name="Currency 9 2 3 2 2" xfId="2762"/>
    <cellStyle name="Currency 9 2 3 3" xfId="2763"/>
    <cellStyle name="Currency 9 2 3 3 2" xfId="2764"/>
    <cellStyle name="Currency 9 2 3 4" xfId="2765"/>
    <cellStyle name="Currency 9 2 4" xfId="2766"/>
    <cellStyle name="Currency 9 2 4 2" xfId="2767"/>
    <cellStyle name="Currency 9 2 5" xfId="2768"/>
    <cellStyle name="Currency 9 2 5 2" xfId="2769"/>
    <cellStyle name="Currency 9 2 6" xfId="2770"/>
    <cellStyle name="Currency 9 3" xfId="2771"/>
    <cellStyle name="Currency 9 3 2" xfId="2772"/>
    <cellStyle name="Currency 9 3 2 2" xfId="2773"/>
    <cellStyle name="Currency 9 3 2 2 2" xfId="2774"/>
    <cellStyle name="Currency 9 3 2 3" xfId="2775"/>
    <cellStyle name="Currency 9 3 2 3 2" xfId="2776"/>
    <cellStyle name="Currency 9 3 2 4" xfId="2777"/>
    <cellStyle name="Currency 9 3 3" xfId="2778"/>
    <cellStyle name="Currency 9 3 3 2" xfId="2779"/>
    <cellStyle name="Currency 9 3 4" xfId="2780"/>
    <cellStyle name="Currency 9 3 4 2" xfId="2781"/>
    <cellStyle name="Currency 9 3 5" xfId="2782"/>
    <cellStyle name="Currency 9 4" xfId="2783"/>
    <cellStyle name="Currency 9 4 2" xfId="2784"/>
    <cellStyle name="Currency 9 4 2 2" xfId="2785"/>
    <cellStyle name="Currency 9 4 3" xfId="2786"/>
    <cellStyle name="Currency 9 4 3 2" xfId="2787"/>
    <cellStyle name="Currency 9 4 4" xfId="2788"/>
    <cellStyle name="Currency 9 5" xfId="2789"/>
    <cellStyle name="Currency 9 5 2" xfId="2790"/>
    <cellStyle name="Currency 9 6" xfId="2791"/>
    <cellStyle name="Currency 9 6 2" xfId="2792"/>
    <cellStyle name="Currency 9 7" xfId="2793"/>
    <cellStyle name="Currency0" xfId="2794"/>
    <cellStyle name="Custom - Style1" xfId="2795"/>
    <cellStyle name="Custom - Style8" xfId="2796"/>
    <cellStyle name="Data   - Style2" xfId="2797"/>
    <cellStyle name="Data   - Style2 2" xfId="2798"/>
    <cellStyle name="Data   - Style2 3" xfId="2799"/>
    <cellStyle name="Data   - Style2 4" xfId="2800"/>
    <cellStyle name="Data   - Style2 5" xfId="2801"/>
    <cellStyle name="Data Enter" xfId="2802"/>
    <cellStyle name="date" xfId="2803"/>
    <cellStyle name="Euro" xfId="2804"/>
    <cellStyle name="Euro 2" xfId="2805"/>
    <cellStyle name="Explanatory Text" xfId="2806" builtinId="53" customBuiltin="1"/>
    <cellStyle name="Explanatory Text 2" xfId="2807"/>
    <cellStyle name="Explanatory Text 3" xfId="2808"/>
    <cellStyle name="Explanatory Text 4" xfId="2809"/>
    <cellStyle name="F9ReportControlStyle_ctpInquire" xfId="2810"/>
    <cellStyle name="FactSheet" xfId="2811"/>
    <cellStyle name="fish" xfId="2812"/>
    <cellStyle name="Good" xfId="2813" builtinId="26" customBuiltin="1"/>
    <cellStyle name="Good 2" xfId="2814"/>
    <cellStyle name="Good 2 2" xfId="2815"/>
    <cellStyle name="Good 2 2 2" xfId="2816"/>
    <cellStyle name="Good 2 2 3" xfId="2817"/>
    <cellStyle name="Good 2 3" xfId="2818"/>
    <cellStyle name="Good 2 4" xfId="2819"/>
    <cellStyle name="Good 2 5" xfId="2820"/>
    <cellStyle name="Good 3" xfId="2821"/>
    <cellStyle name="Good 3 2" xfId="2822"/>
    <cellStyle name="Good 3 3" xfId="2823"/>
    <cellStyle name="Good 3 3 2" xfId="2824"/>
    <cellStyle name="Good 4" xfId="2825"/>
    <cellStyle name="Good 5" xfId="2826"/>
    <cellStyle name="Heading 1" xfId="2827" builtinId="16" customBuiltin="1"/>
    <cellStyle name="Heading 1 2" xfId="2828"/>
    <cellStyle name="Heading 1 2 2" xfId="2829"/>
    <cellStyle name="Heading 1 2 2 2" xfId="2830"/>
    <cellStyle name="Heading 1 2 3" xfId="2831"/>
    <cellStyle name="Heading 1 2 4" xfId="2832"/>
    <cellStyle name="Heading 1 2 4 2" xfId="2833"/>
    <cellStyle name="Heading 1 3" xfId="2834"/>
    <cellStyle name="Heading 1 3 2" xfId="2835"/>
    <cellStyle name="Heading 1 3 3" xfId="2836"/>
    <cellStyle name="Heading 1 3 4" xfId="2837"/>
    <cellStyle name="Heading 1 4" xfId="2838"/>
    <cellStyle name="Heading 1 4 2" xfId="2839"/>
    <cellStyle name="Heading 2" xfId="2840" builtinId="17" customBuiltin="1"/>
    <cellStyle name="Heading 2 2" xfId="2841"/>
    <cellStyle name="Heading 2 2 2" xfId="2842"/>
    <cellStyle name="Heading 2 2 3" xfId="2843"/>
    <cellStyle name="Heading 2 2 4" xfId="2844"/>
    <cellStyle name="Heading 2 2 4 2" xfId="2845"/>
    <cellStyle name="Heading 2 3" xfId="2846"/>
    <cellStyle name="Heading 2 3 2" xfId="2847"/>
    <cellStyle name="Heading 2 3 3" xfId="2848"/>
    <cellStyle name="Heading 2 3 4" xfId="2849"/>
    <cellStyle name="Heading 2 4" xfId="2850"/>
    <cellStyle name="Heading 2 4 2" xfId="2851"/>
    <cellStyle name="Heading 3" xfId="2852" builtinId="18" customBuiltin="1"/>
    <cellStyle name="Heading 3 2" xfId="2853"/>
    <cellStyle name="Heading 3 2 2" xfId="2854"/>
    <cellStyle name="Heading 3 2 2 2" xfId="2855"/>
    <cellStyle name="Heading 3 2 3" xfId="2856"/>
    <cellStyle name="Heading 3 2 4" xfId="2857"/>
    <cellStyle name="Heading 3 2 4 2" xfId="2858"/>
    <cellStyle name="Heading 3 3" xfId="2859"/>
    <cellStyle name="Heading 3 3 2" xfId="2860"/>
    <cellStyle name="Heading 3 3 3" xfId="2861"/>
    <cellStyle name="Heading 3 3 4" xfId="2862"/>
    <cellStyle name="Heading 3 4" xfId="2863"/>
    <cellStyle name="Heading 3 4 2" xfId="2864"/>
    <cellStyle name="Heading 4" xfId="2865" builtinId="19" customBuiltin="1"/>
    <cellStyle name="Heading 4 2" xfId="2866"/>
    <cellStyle name="Heading 4 2 2" xfId="2867"/>
    <cellStyle name="Heading 4 2 2 2" xfId="2868"/>
    <cellStyle name="Heading 4 2 2 3" xfId="2869"/>
    <cellStyle name="Heading 4 2 3" xfId="2870"/>
    <cellStyle name="Heading 4 2 3 2" xfId="2871"/>
    <cellStyle name="Heading 4 3" xfId="2872"/>
    <cellStyle name="Heading 4 3 2" xfId="2873"/>
    <cellStyle name="Heading 4 3 3" xfId="2874"/>
    <cellStyle name="Heading 4 4" xfId="2875"/>
    <cellStyle name="Hyperlink 2" xfId="2876"/>
    <cellStyle name="Hyperlink 2 2" xfId="2877"/>
    <cellStyle name="Hyperlink 2 2 2" xfId="2878"/>
    <cellStyle name="Hyperlink 2 2 3" xfId="2879"/>
    <cellStyle name="Hyperlink 2 2 4" xfId="2880"/>
    <cellStyle name="Hyperlink 2 2 5" xfId="2881"/>
    <cellStyle name="Hyperlink 2 2 6" xfId="2882"/>
    <cellStyle name="Hyperlink 2 3" xfId="2883"/>
    <cellStyle name="Hyperlink 2 3 2" xfId="2884"/>
    <cellStyle name="Hyperlink 2 3 3" xfId="2885"/>
    <cellStyle name="Hyperlink 2 4" xfId="2886"/>
    <cellStyle name="Hyperlink 3" xfId="2887"/>
    <cellStyle name="Hyperlink 3 2" xfId="2888"/>
    <cellStyle name="Hyperlink 3 2 2" xfId="2889"/>
    <cellStyle name="Hyperlink 3 3" xfId="2890"/>
    <cellStyle name="Hyperlink 3 4" xfId="2891"/>
    <cellStyle name="Hyperlink 4" xfId="2892"/>
    <cellStyle name="Hyperlink 4 2" xfId="2893"/>
    <cellStyle name="Hyperlink 4 3" xfId="2894"/>
    <cellStyle name="Hyperlink 5" xfId="2895"/>
    <cellStyle name="Input" xfId="2896" builtinId="20" customBuiltin="1"/>
    <cellStyle name="Input 2" xfId="2897"/>
    <cellStyle name="Input 2 2" xfId="2898"/>
    <cellStyle name="Input 2 2 2" xfId="2899"/>
    <cellStyle name="Input 2 2 2 2" xfId="2900"/>
    <cellStyle name="Input 2 2 2 2 2" xfId="2901"/>
    <cellStyle name="Input 2 2 2 2 3" xfId="2902"/>
    <cellStyle name="Input 2 2 2 2 4" xfId="2903"/>
    <cellStyle name="Input 2 2 2 2 5" xfId="2904"/>
    <cellStyle name="Input 2 2 2 3" xfId="2905"/>
    <cellStyle name="Input 2 2 3" xfId="2906"/>
    <cellStyle name="Input 2 2 3 2" xfId="2907"/>
    <cellStyle name="Input 2 2 3 3" xfId="2908"/>
    <cellStyle name="Input 2 2 3 4" xfId="2909"/>
    <cellStyle name="Input 2 2 3 5" xfId="2910"/>
    <cellStyle name="Input 2 2 4" xfId="2911"/>
    <cellStyle name="Input 2 2 5" xfId="2912"/>
    <cellStyle name="Input 2 3" xfId="2913"/>
    <cellStyle name="Input 2 3 2" xfId="2914"/>
    <cellStyle name="Input 2 3 2 2" xfId="2915"/>
    <cellStyle name="Input 2 3 2 3" xfId="2916"/>
    <cellStyle name="Input 2 3 2 4" xfId="2917"/>
    <cellStyle name="Input 2 3 2 5" xfId="2918"/>
    <cellStyle name="Input 2 3 3" xfId="2919"/>
    <cellStyle name="Input 2 3 4" xfId="2920"/>
    <cellStyle name="Input 2 4" xfId="2921"/>
    <cellStyle name="Input 2 4 2" xfId="2922"/>
    <cellStyle name="Input 2 4 3" xfId="2923"/>
    <cellStyle name="Input 2 4 4" xfId="2924"/>
    <cellStyle name="Input 2 4 5" xfId="2925"/>
    <cellStyle name="Input 2 5" xfId="2926"/>
    <cellStyle name="Input 3" xfId="2927"/>
    <cellStyle name="Input 3 2" xfId="2928"/>
    <cellStyle name="Input 3 2 2" xfId="2929"/>
    <cellStyle name="Input 3 2 2 2" xfId="2930"/>
    <cellStyle name="Input 3 2 2 3" xfId="2931"/>
    <cellStyle name="Input 3 2 2 4" xfId="2932"/>
    <cellStyle name="Input 3 2 2 5" xfId="2933"/>
    <cellStyle name="Input 3 2 3" xfId="2934"/>
    <cellStyle name="Input 3 3" xfId="2935"/>
    <cellStyle name="Input 3 3 2" xfId="2936"/>
    <cellStyle name="Input 3 3 3" xfId="2937"/>
    <cellStyle name="Input 3 3 4" xfId="2938"/>
    <cellStyle name="Input 3 3 5" xfId="2939"/>
    <cellStyle name="Input 3 4" xfId="2940"/>
    <cellStyle name="Input 3 4 2" xfId="2941"/>
    <cellStyle name="Input 3 4 3" xfId="2942"/>
    <cellStyle name="Input 3 4 4" xfId="2943"/>
    <cellStyle name="Input 3 4 5" xfId="2944"/>
    <cellStyle name="Input 4" xfId="2945"/>
    <cellStyle name="input(0)" xfId="2946"/>
    <cellStyle name="Input(2)" xfId="2947"/>
    <cellStyle name="Labels" xfId="2948"/>
    <cellStyle name="Labels - Style3" xfId="2949"/>
    <cellStyle name="Labels - Style3 2" xfId="2950"/>
    <cellStyle name="Labels - Style3 3" xfId="2951"/>
    <cellStyle name="Labels - Style3 4" xfId="2952"/>
    <cellStyle name="Labels - Style3 5" xfId="2953"/>
    <cellStyle name="Labels 2" xfId="2954"/>
    <cellStyle name="Labels 2 2" xfId="2955"/>
    <cellStyle name="Labels 3" xfId="2956"/>
    <cellStyle name="Labels 4" xfId="2957"/>
    <cellStyle name="Labels 5" xfId="2958"/>
    <cellStyle name="Labels 6" xfId="2959"/>
    <cellStyle name="Labels 7" xfId="2960"/>
    <cellStyle name="Linked Cell" xfId="2961" builtinId="24" customBuiltin="1"/>
    <cellStyle name="Linked Cell 2" xfId="2962"/>
    <cellStyle name="Linked Cell 2 2" xfId="2963"/>
    <cellStyle name="Linked Cell 2 3" xfId="2964"/>
    <cellStyle name="Linked Cell 2 4" xfId="2965"/>
    <cellStyle name="Linked Cell 2 4 2" xfId="2966"/>
    <cellStyle name="Linked Cell 3" xfId="2967"/>
    <cellStyle name="Linked Cell 3 2" xfId="2968"/>
    <cellStyle name="Linked Cell 3 3" xfId="2969"/>
    <cellStyle name="Linked Cell 4" xfId="2970"/>
    <cellStyle name="Neutral" xfId="2971" builtinId="28" customBuiltin="1"/>
    <cellStyle name="Neutral 2" xfId="2972"/>
    <cellStyle name="Neutral 2 2" xfId="2973"/>
    <cellStyle name="Neutral 2 2 2" xfId="2974"/>
    <cellStyle name="Neutral 2 3" xfId="2975"/>
    <cellStyle name="Neutral 2 4" xfId="2976"/>
    <cellStyle name="Neutral 2 4 2" xfId="2977"/>
    <cellStyle name="Neutral 3" xfId="2978"/>
    <cellStyle name="Neutral 3 2" xfId="2979"/>
    <cellStyle name="Neutral 3 3" xfId="2980"/>
    <cellStyle name="Neutral 4" xfId="2981"/>
    <cellStyle name="New_normal" xfId="2982"/>
    <cellStyle name="Normal" xfId="0" builtinId="0"/>
    <cellStyle name="Normal - Style1" xfId="2983"/>
    <cellStyle name="Normal - Style2" xfId="2984"/>
    <cellStyle name="Normal - Style3" xfId="2985"/>
    <cellStyle name="Normal - Style4" xfId="2986"/>
    <cellStyle name="Normal - Style5" xfId="2987"/>
    <cellStyle name="Normal - Style6" xfId="2988"/>
    <cellStyle name="Normal - Style7" xfId="2989"/>
    <cellStyle name="Normal - Style8" xfId="2990"/>
    <cellStyle name="Normal 10" xfId="2991"/>
    <cellStyle name="Normal 10 10" xfId="2992"/>
    <cellStyle name="Normal 10 10 2" xfId="2993"/>
    <cellStyle name="Normal 10 2" xfId="2994"/>
    <cellStyle name="Normal 10 2 2" xfId="2995"/>
    <cellStyle name="Normal 10 2 2 2" xfId="2996"/>
    <cellStyle name="Normal 10 2 2 2 2" xfId="2997"/>
    <cellStyle name="Normal 10 2 2 2 2 2" xfId="2998"/>
    <cellStyle name="Normal 10 2 2 2 2 2 2" xfId="2999"/>
    <cellStyle name="Normal 10 2 2 2 2 2 2 2" xfId="3000"/>
    <cellStyle name="Normal 10 2 2 2 2 2 2 2 2" xfId="3001"/>
    <cellStyle name="Normal 10 2 2 2 2 2 2 3" xfId="3002"/>
    <cellStyle name="Normal 10 2 2 2 2 2 3" xfId="3003"/>
    <cellStyle name="Normal 10 2 2 2 2 2 3 2" xfId="3004"/>
    <cellStyle name="Normal 10 2 2 2 2 2 3 2 2" xfId="3005"/>
    <cellStyle name="Normal 10 2 2 2 2 2 3 3" xfId="3006"/>
    <cellStyle name="Normal 10 2 2 2 2 2 4" xfId="3007"/>
    <cellStyle name="Normal 10 2 2 2 2 2 4 2" xfId="3008"/>
    <cellStyle name="Normal 10 2 2 2 2 2 5" xfId="3009"/>
    <cellStyle name="Normal 10 2 2 2 2 3" xfId="3010"/>
    <cellStyle name="Normal 10 2 2 2 2 3 2" xfId="3011"/>
    <cellStyle name="Normal 10 2 2 2 2 3 2 2" xfId="3012"/>
    <cellStyle name="Normal 10 2 2 2 2 3 3" xfId="3013"/>
    <cellStyle name="Normal 10 2 2 2 2 4" xfId="3014"/>
    <cellStyle name="Normal 10 2 2 2 2 4 2" xfId="3015"/>
    <cellStyle name="Normal 10 2 2 2 2 4 2 2" xfId="3016"/>
    <cellStyle name="Normal 10 2 2 2 2 4 3" xfId="3017"/>
    <cellStyle name="Normal 10 2 2 2 2 5" xfId="3018"/>
    <cellStyle name="Normal 10 2 2 2 2 5 2" xfId="3019"/>
    <cellStyle name="Normal 10 2 2 2 2 6" xfId="3020"/>
    <cellStyle name="Normal 10 2 2 2 3" xfId="3021"/>
    <cellStyle name="Normal 10 2 2 2 3 2" xfId="3022"/>
    <cellStyle name="Normal 10 2 2 2 3 2 2" xfId="3023"/>
    <cellStyle name="Normal 10 2 2 2 3 2 2 2" xfId="3024"/>
    <cellStyle name="Normal 10 2 2 2 3 2 3" xfId="3025"/>
    <cellStyle name="Normal 10 2 2 2 3 3" xfId="3026"/>
    <cellStyle name="Normal 10 2 2 2 3 3 2" xfId="3027"/>
    <cellStyle name="Normal 10 2 2 2 3 3 2 2" xfId="3028"/>
    <cellStyle name="Normal 10 2 2 2 3 3 3" xfId="3029"/>
    <cellStyle name="Normal 10 2 2 2 3 4" xfId="3030"/>
    <cellStyle name="Normal 10 2 2 2 3 4 2" xfId="3031"/>
    <cellStyle name="Normal 10 2 2 2 3 5" xfId="3032"/>
    <cellStyle name="Normal 10 2 2 2 4" xfId="3033"/>
    <cellStyle name="Normal 10 2 2 2 4 2" xfId="3034"/>
    <cellStyle name="Normal 10 2 2 2 4 2 2" xfId="3035"/>
    <cellStyle name="Normal 10 2 2 2 4 3" xfId="3036"/>
    <cellStyle name="Normal 10 2 2 2 5" xfId="3037"/>
    <cellStyle name="Normal 10 2 2 2 5 2" xfId="3038"/>
    <cellStyle name="Normal 10 2 2 2 5 2 2" xfId="3039"/>
    <cellStyle name="Normal 10 2 2 2 5 3" xfId="3040"/>
    <cellStyle name="Normal 10 2 2 2 6" xfId="3041"/>
    <cellStyle name="Normal 10 2 2 2 6 2" xfId="3042"/>
    <cellStyle name="Normal 10 2 2 2 7" xfId="3043"/>
    <cellStyle name="Normal 10 2 2 3" xfId="3044"/>
    <cellStyle name="Normal 10 2 2 3 2" xfId="3045"/>
    <cellStyle name="Normal 10 2 2 3 2 2" xfId="3046"/>
    <cellStyle name="Normal 10 2 2 3 2 2 2" xfId="3047"/>
    <cellStyle name="Normal 10 2 2 3 2 2 2 2" xfId="3048"/>
    <cellStyle name="Normal 10 2 2 3 2 2 3" xfId="3049"/>
    <cellStyle name="Normal 10 2 2 3 2 3" xfId="3050"/>
    <cellStyle name="Normal 10 2 2 3 2 3 2" xfId="3051"/>
    <cellStyle name="Normal 10 2 2 3 2 3 2 2" xfId="3052"/>
    <cellStyle name="Normal 10 2 2 3 2 3 3" xfId="3053"/>
    <cellStyle name="Normal 10 2 2 3 2 4" xfId="3054"/>
    <cellStyle name="Normal 10 2 2 3 2 4 2" xfId="3055"/>
    <cellStyle name="Normal 10 2 2 3 2 5" xfId="3056"/>
    <cellStyle name="Normal 10 2 2 3 3" xfId="3057"/>
    <cellStyle name="Normal 10 2 2 3 3 2" xfId="3058"/>
    <cellStyle name="Normal 10 2 2 3 3 2 2" xfId="3059"/>
    <cellStyle name="Normal 10 2 2 3 3 3" xfId="3060"/>
    <cellStyle name="Normal 10 2 2 3 4" xfId="3061"/>
    <cellStyle name="Normal 10 2 2 3 4 2" xfId="3062"/>
    <cellStyle name="Normal 10 2 2 3 4 2 2" xfId="3063"/>
    <cellStyle name="Normal 10 2 2 3 4 3" xfId="3064"/>
    <cellStyle name="Normal 10 2 2 3 5" xfId="3065"/>
    <cellStyle name="Normal 10 2 2 3 5 2" xfId="3066"/>
    <cellStyle name="Normal 10 2 2 3 6" xfId="3067"/>
    <cellStyle name="Normal 10 2 2 4" xfId="3068"/>
    <cellStyle name="Normal 10 2 2 4 2" xfId="3069"/>
    <cellStyle name="Normal 10 2 2 4 2 2" xfId="3070"/>
    <cellStyle name="Normal 10 2 2 4 2 2 2" xfId="3071"/>
    <cellStyle name="Normal 10 2 2 4 2 3" xfId="3072"/>
    <cellStyle name="Normal 10 2 2 4 3" xfId="3073"/>
    <cellStyle name="Normal 10 2 2 4 3 2" xfId="3074"/>
    <cellStyle name="Normal 10 2 2 4 3 2 2" xfId="3075"/>
    <cellStyle name="Normal 10 2 2 4 3 3" xfId="3076"/>
    <cellStyle name="Normal 10 2 2 4 4" xfId="3077"/>
    <cellStyle name="Normal 10 2 2 4 4 2" xfId="3078"/>
    <cellStyle name="Normal 10 2 2 4 5" xfId="3079"/>
    <cellStyle name="Normal 10 2 2 5" xfId="3080"/>
    <cellStyle name="Normal 10 2 2 5 2" xfId="3081"/>
    <cellStyle name="Normal 10 2 2 5 2 2" xfId="3082"/>
    <cellStyle name="Normal 10 2 2 5 3" xfId="3083"/>
    <cellStyle name="Normal 10 2 2 6" xfId="3084"/>
    <cellStyle name="Normal 10 2 2 6 2" xfId="3085"/>
    <cellStyle name="Normal 10 2 2 6 2 2" xfId="3086"/>
    <cellStyle name="Normal 10 2 2 6 3" xfId="3087"/>
    <cellStyle name="Normal 10 2 2 7" xfId="3088"/>
    <cellStyle name="Normal 10 2 2 7 2" xfId="3089"/>
    <cellStyle name="Normal 10 2 2 8" xfId="3090"/>
    <cellStyle name="Normal 10 2 3" xfId="3091"/>
    <cellStyle name="Normal 10 2 3 2" xfId="3092"/>
    <cellStyle name="Normal 10 2 3 2 2" xfId="3093"/>
    <cellStyle name="Normal 10 2 3 2 2 2" xfId="3094"/>
    <cellStyle name="Normal 10 2 3 2 2 2 2" xfId="3095"/>
    <cellStyle name="Normal 10 2 3 2 2 2 2 2" xfId="3096"/>
    <cellStyle name="Normal 10 2 3 2 2 2 3" xfId="3097"/>
    <cellStyle name="Normal 10 2 3 2 2 3" xfId="3098"/>
    <cellStyle name="Normal 10 2 3 2 2 3 2" xfId="3099"/>
    <cellStyle name="Normal 10 2 3 2 2 3 2 2" xfId="3100"/>
    <cellStyle name="Normal 10 2 3 2 2 3 3" xfId="3101"/>
    <cellStyle name="Normal 10 2 3 2 2 4" xfId="3102"/>
    <cellStyle name="Normal 10 2 3 2 2 4 2" xfId="3103"/>
    <cellStyle name="Normal 10 2 3 2 2 5" xfId="3104"/>
    <cellStyle name="Normal 10 2 3 2 3" xfId="3105"/>
    <cellStyle name="Normal 10 2 3 2 3 2" xfId="3106"/>
    <cellStyle name="Normal 10 2 3 2 3 2 2" xfId="3107"/>
    <cellStyle name="Normal 10 2 3 2 3 3" xfId="3108"/>
    <cellStyle name="Normal 10 2 3 2 4" xfId="3109"/>
    <cellStyle name="Normal 10 2 3 2 4 2" xfId="3110"/>
    <cellStyle name="Normal 10 2 3 2 4 2 2" xfId="3111"/>
    <cellStyle name="Normal 10 2 3 2 4 3" xfId="3112"/>
    <cellStyle name="Normal 10 2 3 2 5" xfId="3113"/>
    <cellStyle name="Normal 10 2 3 2 5 2" xfId="3114"/>
    <cellStyle name="Normal 10 2 3 2 6" xfId="3115"/>
    <cellStyle name="Normal 10 2 3 3" xfId="3116"/>
    <cellStyle name="Normal 10 2 3 3 2" xfId="3117"/>
    <cellStyle name="Normal 10 2 3 3 2 2" xfId="3118"/>
    <cellStyle name="Normal 10 2 3 3 2 2 2" xfId="3119"/>
    <cellStyle name="Normal 10 2 3 3 2 3" xfId="3120"/>
    <cellStyle name="Normal 10 2 3 3 3" xfId="3121"/>
    <cellStyle name="Normal 10 2 3 3 3 2" xfId="3122"/>
    <cellStyle name="Normal 10 2 3 3 3 2 2" xfId="3123"/>
    <cellStyle name="Normal 10 2 3 3 3 3" xfId="3124"/>
    <cellStyle name="Normal 10 2 3 3 4" xfId="3125"/>
    <cellStyle name="Normal 10 2 3 3 4 2" xfId="3126"/>
    <cellStyle name="Normal 10 2 3 3 5" xfId="3127"/>
    <cellStyle name="Normal 10 2 3 4" xfId="3128"/>
    <cellStyle name="Normal 10 2 3 4 2" xfId="3129"/>
    <cellStyle name="Normal 10 2 3 4 2 2" xfId="3130"/>
    <cellStyle name="Normal 10 2 3 5" xfId="3131"/>
    <cellStyle name="Normal 10 2 3 5 2" xfId="3132"/>
    <cellStyle name="Normal 10 2 3 5 2 2" xfId="3133"/>
    <cellStyle name="Normal 10 2 3 5 3" xfId="3134"/>
    <cellStyle name="Normal 10 2 3 6" xfId="3135"/>
    <cellStyle name="Normal 10 2 3 6 2" xfId="3136"/>
    <cellStyle name="Normal 10 2 4" xfId="3137"/>
    <cellStyle name="Normal 10 2 4 2" xfId="3138"/>
    <cellStyle name="Normal 10 2 4 2 2" xfId="3139"/>
    <cellStyle name="Normal 10 2 4 2 2 2" xfId="3140"/>
    <cellStyle name="Normal 10 2 4 2 2 2 2" xfId="3141"/>
    <cellStyle name="Normal 10 2 4 2 2 3" xfId="3142"/>
    <cellStyle name="Normal 10 2 4 2 3" xfId="3143"/>
    <cellStyle name="Normal 10 2 4 2 3 2" xfId="3144"/>
    <cellStyle name="Normal 10 2 4 2 3 2 2" xfId="3145"/>
    <cellStyle name="Normal 10 2 4 2 3 3" xfId="3146"/>
    <cellStyle name="Normal 10 2 4 2 4" xfId="3147"/>
    <cellStyle name="Normal 10 2 4 2 4 2" xfId="3148"/>
    <cellStyle name="Normal 10 2 4 3" xfId="3149"/>
    <cellStyle name="Normal 10 2 4 3 2" xfId="3150"/>
    <cellStyle name="Normal 10 2 4 3 2 2" xfId="3151"/>
    <cellStyle name="Normal 10 2 4 3 3" xfId="3152"/>
    <cellStyle name="Normal 10 2 4 4" xfId="3153"/>
    <cellStyle name="Normal 10 2 4 4 2" xfId="3154"/>
    <cellStyle name="Normal 10 2 4 4 2 2" xfId="3155"/>
    <cellStyle name="Normal 10 2 4 4 3" xfId="3156"/>
    <cellStyle name="Normal 10 2 4 5" xfId="3157"/>
    <cellStyle name="Normal 10 2 4 5 2" xfId="3158"/>
    <cellStyle name="Normal 10 2 5" xfId="3159"/>
    <cellStyle name="Normal 10 2 5 2" xfId="3160"/>
    <cellStyle name="Normal 10 2 5 2 2" xfId="3161"/>
    <cellStyle name="Normal 10 2 5 2 2 2" xfId="3162"/>
    <cellStyle name="Normal 10 2 5 2 3" xfId="3163"/>
    <cellStyle name="Normal 10 2 5 3" xfId="3164"/>
    <cellStyle name="Normal 10 2 5 3 2" xfId="3165"/>
    <cellStyle name="Normal 10 2 5 3 2 2" xfId="3166"/>
    <cellStyle name="Normal 10 2 5 3 3" xfId="3167"/>
    <cellStyle name="Normal 10 2 5 4" xfId="3168"/>
    <cellStyle name="Normal 10 2 5 4 2" xfId="3169"/>
    <cellStyle name="Normal 10 2 6" xfId="3170"/>
    <cellStyle name="Normal 10 2 6 2" xfId="3171"/>
    <cellStyle name="Normal 10 2 6 2 2" xfId="3172"/>
    <cellStyle name="Normal 10 2 7" xfId="3173"/>
    <cellStyle name="Normal 10 2 7 2" xfId="3174"/>
    <cellStyle name="Normal 10 2 7 2 2" xfId="3175"/>
    <cellStyle name="Normal 10 2 7 3" xfId="3176"/>
    <cellStyle name="Normal 10 2 8" xfId="3177"/>
    <cellStyle name="Normal 10 2 8 2" xfId="3178"/>
    <cellStyle name="Normal 10 3" xfId="3179"/>
    <cellStyle name="Normal 10 3 2" xfId="3180"/>
    <cellStyle name="Normal 10 3 2 2" xfId="3181"/>
    <cellStyle name="Normal 10 3 2 2 2" xfId="3182"/>
    <cellStyle name="Normal 10 3 2 2 2 2" xfId="3183"/>
    <cellStyle name="Normal 10 3 2 2 2 2 2" xfId="3184"/>
    <cellStyle name="Normal 10 3 2 2 2 2 2 2" xfId="3185"/>
    <cellStyle name="Normal 10 3 2 2 2 2 3" xfId="3186"/>
    <cellStyle name="Normal 10 3 2 2 2 3" xfId="3187"/>
    <cellStyle name="Normal 10 3 2 2 2 3 2" xfId="3188"/>
    <cellStyle name="Normal 10 3 2 2 2 3 2 2" xfId="3189"/>
    <cellStyle name="Normal 10 3 2 2 2 3 3" xfId="3190"/>
    <cellStyle name="Normal 10 3 2 2 2 4" xfId="3191"/>
    <cellStyle name="Normal 10 3 2 2 2 4 2" xfId="3192"/>
    <cellStyle name="Normal 10 3 2 2 2 5" xfId="3193"/>
    <cellStyle name="Normal 10 3 2 2 3" xfId="3194"/>
    <cellStyle name="Normal 10 3 2 2 3 2" xfId="3195"/>
    <cellStyle name="Normal 10 3 2 2 3 2 2" xfId="3196"/>
    <cellStyle name="Normal 10 3 2 2 3 3" xfId="3197"/>
    <cellStyle name="Normal 10 3 2 2 4" xfId="3198"/>
    <cellStyle name="Normal 10 3 2 2 4 2" xfId="3199"/>
    <cellStyle name="Normal 10 3 2 2 4 2 2" xfId="3200"/>
    <cellStyle name="Normal 10 3 2 2 4 3" xfId="3201"/>
    <cellStyle name="Normal 10 3 2 2 5" xfId="3202"/>
    <cellStyle name="Normal 10 3 2 2 5 2" xfId="3203"/>
    <cellStyle name="Normal 10 3 2 2 6" xfId="3204"/>
    <cellStyle name="Normal 10 3 2 3" xfId="3205"/>
    <cellStyle name="Normal 10 3 2 3 2" xfId="3206"/>
    <cellStyle name="Normal 10 3 2 3 2 2" xfId="3207"/>
    <cellStyle name="Normal 10 3 2 3 2 2 2" xfId="3208"/>
    <cellStyle name="Normal 10 3 2 3 2 3" xfId="3209"/>
    <cellStyle name="Normal 10 3 2 3 3" xfId="3210"/>
    <cellStyle name="Normal 10 3 2 3 3 2" xfId="3211"/>
    <cellStyle name="Normal 10 3 2 3 3 2 2" xfId="3212"/>
    <cellStyle name="Normal 10 3 2 3 3 3" xfId="3213"/>
    <cellStyle name="Normal 10 3 2 3 4" xfId="3214"/>
    <cellStyle name="Normal 10 3 2 3 4 2" xfId="3215"/>
    <cellStyle name="Normal 10 3 2 3 5" xfId="3216"/>
    <cellStyle name="Normal 10 3 2 4" xfId="3217"/>
    <cellStyle name="Normal 10 3 2 4 2" xfId="3218"/>
    <cellStyle name="Normal 10 3 2 4 2 2" xfId="3219"/>
    <cellStyle name="Normal 10 3 2 4 3" xfId="3220"/>
    <cellStyle name="Normal 10 3 2 5" xfId="3221"/>
    <cellStyle name="Normal 10 3 2 5 2" xfId="3222"/>
    <cellStyle name="Normal 10 3 2 5 2 2" xfId="3223"/>
    <cellStyle name="Normal 10 3 2 5 3" xfId="3224"/>
    <cellStyle name="Normal 10 3 2 6" xfId="3225"/>
    <cellStyle name="Normal 10 3 2 6 2" xfId="3226"/>
    <cellStyle name="Normal 10 3 2 7" xfId="3227"/>
    <cellStyle name="Normal 10 3 2 8" xfId="3228"/>
    <cellStyle name="Normal 10 3 3" xfId="3229"/>
    <cellStyle name="Normal 10 3 3 2" xfId="3230"/>
    <cellStyle name="Normal 10 3 3 2 2" xfId="3231"/>
    <cellStyle name="Normal 10 3 3 2 2 2" xfId="3232"/>
    <cellStyle name="Normal 10 3 3 2 2 2 2" xfId="3233"/>
    <cellStyle name="Normal 10 3 3 2 2 3" xfId="3234"/>
    <cellStyle name="Normal 10 3 3 2 3" xfId="3235"/>
    <cellStyle name="Normal 10 3 3 2 3 2" xfId="3236"/>
    <cellStyle name="Normal 10 3 3 2 3 2 2" xfId="3237"/>
    <cellStyle name="Normal 10 3 3 2 3 3" xfId="3238"/>
    <cellStyle name="Normal 10 3 3 2 4" xfId="3239"/>
    <cellStyle name="Normal 10 3 3 2 4 2" xfId="3240"/>
    <cellStyle name="Normal 10 3 3 2 5" xfId="3241"/>
    <cellStyle name="Normal 10 3 3 3" xfId="3242"/>
    <cellStyle name="Normal 10 3 3 3 2" xfId="3243"/>
    <cellStyle name="Normal 10 3 3 3 2 2" xfId="3244"/>
    <cellStyle name="Normal 10 3 3 3 3" xfId="3245"/>
    <cellStyle name="Normal 10 3 3 4" xfId="3246"/>
    <cellStyle name="Normal 10 3 3 4 2" xfId="3247"/>
    <cellStyle name="Normal 10 3 3 4 2 2" xfId="3248"/>
    <cellStyle name="Normal 10 3 3 4 3" xfId="3249"/>
    <cellStyle name="Normal 10 3 3 5" xfId="3250"/>
    <cellStyle name="Normal 10 3 3 5 2" xfId="3251"/>
    <cellStyle name="Normal 10 3 3 6" xfId="3252"/>
    <cellStyle name="Normal 10 3 4" xfId="3253"/>
    <cellStyle name="Normal 10 3 4 2" xfId="3254"/>
    <cellStyle name="Normal 10 3 4 2 2" xfId="3255"/>
    <cellStyle name="Normal 10 3 4 2 2 2" xfId="3256"/>
    <cellStyle name="Normal 10 3 4 2 3" xfId="3257"/>
    <cellStyle name="Normal 10 3 4 3" xfId="3258"/>
    <cellStyle name="Normal 10 3 4 3 2" xfId="3259"/>
    <cellStyle name="Normal 10 3 4 3 2 2" xfId="3260"/>
    <cellStyle name="Normal 10 3 4 3 3" xfId="3261"/>
    <cellStyle name="Normal 10 3 4 4" xfId="3262"/>
    <cellStyle name="Normal 10 3 4 4 2" xfId="3263"/>
    <cellStyle name="Normal 10 3 4 5" xfId="3264"/>
    <cellStyle name="Normal 10 3 5" xfId="3265"/>
    <cellStyle name="Normal 10 3 5 2" xfId="3266"/>
    <cellStyle name="Normal 10 3 5 2 2" xfId="3267"/>
    <cellStyle name="Normal 10 3 5 3" xfId="3268"/>
    <cellStyle name="Normal 10 3 6" xfId="3269"/>
    <cellStyle name="Normal 10 3 6 2" xfId="3270"/>
    <cellStyle name="Normal 10 3 6 2 2" xfId="3271"/>
    <cellStyle name="Normal 10 3 7" xfId="3272"/>
    <cellStyle name="Normal 10 3 7 2" xfId="3273"/>
    <cellStyle name="Normal 10 3 8" xfId="3274"/>
    <cellStyle name="Normal 10 4" xfId="3275"/>
    <cellStyle name="Normal 10 4 2" xfId="3276"/>
    <cellStyle name="Normal 10 4 2 2" xfId="3277"/>
    <cellStyle name="Normal 10 4 2 2 2" xfId="3278"/>
    <cellStyle name="Normal 10 4 2 2 2 2" xfId="3279"/>
    <cellStyle name="Normal 10 4 2 2 2 2 2" xfId="3280"/>
    <cellStyle name="Normal 10 4 2 2 2 2 2 2" xfId="3281"/>
    <cellStyle name="Normal 10 4 2 2 2 2 3" xfId="3282"/>
    <cellStyle name="Normal 10 4 2 2 2 3" xfId="3283"/>
    <cellStyle name="Normal 10 4 2 2 2 3 2" xfId="3284"/>
    <cellStyle name="Normal 10 4 2 2 2 3 2 2" xfId="3285"/>
    <cellStyle name="Normal 10 4 2 2 2 3 3" xfId="3286"/>
    <cellStyle name="Normal 10 4 2 2 2 4" xfId="3287"/>
    <cellStyle name="Normal 10 4 2 2 2 4 2" xfId="3288"/>
    <cellStyle name="Normal 10 4 2 2 2 5" xfId="3289"/>
    <cellStyle name="Normal 10 4 2 2 3" xfId="3290"/>
    <cellStyle name="Normal 10 4 2 2 3 2" xfId="3291"/>
    <cellStyle name="Normal 10 4 2 2 3 2 2" xfId="3292"/>
    <cellStyle name="Normal 10 4 2 2 3 3" xfId="3293"/>
    <cellStyle name="Normal 10 4 2 2 4" xfId="3294"/>
    <cellStyle name="Normal 10 4 2 2 4 2" xfId="3295"/>
    <cellStyle name="Normal 10 4 2 2 4 2 2" xfId="3296"/>
    <cellStyle name="Normal 10 4 2 2 4 3" xfId="3297"/>
    <cellStyle name="Normal 10 4 2 2 5" xfId="3298"/>
    <cellStyle name="Normal 10 4 2 2 5 2" xfId="3299"/>
    <cellStyle name="Normal 10 4 2 2 6" xfId="3300"/>
    <cellStyle name="Normal 10 4 2 3" xfId="3301"/>
    <cellStyle name="Normal 10 4 2 3 2" xfId="3302"/>
    <cellStyle name="Normal 10 4 2 3 2 2" xfId="3303"/>
    <cellStyle name="Normal 10 4 2 3 2 2 2" xfId="3304"/>
    <cellStyle name="Normal 10 4 2 3 2 3" xfId="3305"/>
    <cellStyle name="Normal 10 4 2 3 3" xfId="3306"/>
    <cellStyle name="Normal 10 4 2 3 3 2" xfId="3307"/>
    <cellStyle name="Normal 10 4 2 3 3 2 2" xfId="3308"/>
    <cellStyle name="Normal 10 4 2 3 3 3" xfId="3309"/>
    <cellStyle name="Normal 10 4 2 3 4" xfId="3310"/>
    <cellStyle name="Normal 10 4 2 3 4 2" xfId="3311"/>
    <cellStyle name="Normal 10 4 2 3 5" xfId="3312"/>
    <cellStyle name="Normal 10 4 2 4" xfId="3313"/>
    <cellStyle name="Normal 10 4 2 4 2" xfId="3314"/>
    <cellStyle name="Normal 10 4 2 4 2 2" xfId="3315"/>
    <cellStyle name="Normal 10 4 2 4 3" xfId="3316"/>
    <cellStyle name="Normal 10 4 2 5" xfId="3317"/>
    <cellStyle name="Normal 10 4 2 5 2" xfId="3318"/>
    <cellStyle name="Normal 10 4 2 5 2 2" xfId="3319"/>
    <cellStyle name="Normal 10 4 2 5 3" xfId="3320"/>
    <cellStyle name="Normal 10 4 2 6" xfId="3321"/>
    <cellStyle name="Normal 10 4 2 6 2" xfId="3322"/>
    <cellStyle name="Normal 10 4 2 7" xfId="3323"/>
    <cellStyle name="Normal 10 4 3" xfId="3324"/>
    <cellStyle name="Normal 10 4 3 2" xfId="3325"/>
    <cellStyle name="Normal 10 4 3 2 2" xfId="3326"/>
    <cellStyle name="Normal 10 4 3 2 2 2" xfId="3327"/>
    <cellStyle name="Normal 10 4 3 2 2 2 2" xfId="3328"/>
    <cellStyle name="Normal 10 4 3 2 2 3" xfId="3329"/>
    <cellStyle name="Normal 10 4 3 2 3" xfId="3330"/>
    <cellStyle name="Normal 10 4 3 2 3 2" xfId="3331"/>
    <cellStyle name="Normal 10 4 3 2 3 2 2" xfId="3332"/>
    <cellStyle name="Normal 10 4 3 2 3 3" xfId="3333"/>
    <cellStyle name="Normal 10 4 3 2 4" xfId="3334"/>
    <cellStyle name="Normal 10 4 3 2 4 2" xfId="3335"/>
    <cellStyle name="Normal 10 4 3 2 5" xfId="3336"/>
    <cellStyle name="Normal 10 4 3 3" xfId="3337"/>
    <cellStyle name="Normal 10 4 3 3 2" xfId="3338"/>
    <cellStyle name="Normal 10 4 3 3 2 2" xfId="3339"/>
    <cellStyle name="Normal 10 4 3 3 3" xfId="3340"/>
    <cellStyle name="Normal 10 4 3 4" xfId="3341"/>
    <cellStyle name="Normal 10 4 3 4 2" xfId="3342"/>
    <cellStyle name="Normal 10 4 3 4 2 2" xfId="3343"/>
    <cellStyle name="Normal 10 4 3 4 3" xfId="3344"/>
    <cellStyle name="Normal 10 4 3 5" xfId="3345"/>
    <cellStyle name="Normal 10 4 3 5 2" xfId="3346"/>
    <cellStyle name="Normal 10 4 3 6" xfId="3347"/>
    <cellStyle name="Normal 10 4 4" xfId="3348"/>
    <cellStyle name="Normal 10 4 4 2" xfId="3349"/>
    <cellStyle name="Normal 10 4 4 2 2" xfId="3350"/>
    <cellStyle name="Normal 10 4 4 2 2 2" xfId="3351"/>
    <cellStyle name="Normal 10 4 4 2 3" xfId="3352"/>
    <cellStyle name="Normal 10 4 4 3" xfId="3353"/>
    <cellStyle name="Normal 10 4 4 3 2" xfId="3354"/>
    <cellStyle name="Normal 10 4 4 3 2 2" xfId="3355"/>
    <cellStyle name="Normal 10 4 4 3 3" xfId="3356"/>
    <cellStyle name="Normal 10 4 4 4" xfId="3357"/>
    <cellStyle name="Normal 10 4 4 4 2" xfId="3358"/>
    <cellStyle name="Normal 10 4 4 5" xfId="3359"/>
    <cellStyle name="Normal 10 4 5" xfId="3360"/>
    <cellStyle name="Normal 10 4 5 2" xfId="3361"/>
    <cellStyle name="Normal 10 4 5 2 2" xfId="3362"/>
    <cellStyle name="Normal 10 4 5 3" xfId="3363"/>
    <cellStyle name="Normal 10 4 6" xfId="3364"/>
    <cellStyle name="Normal 10 4 6 2" xfId="3365"/>
    <cellStyle name="Normal 10 4 6 2 2" xfId="3366"/>
    <cellStyle name="Normal 10 4 6 3" xfId="3367"/>
    <cellStyle name="Normal 10 4 7" xfId="3368"/>
    <cellStyle name="Normal 10 4 7 2" xfId="3369"/>
    <cellStyle name="Normal 10 4 8" xfId="3370"/>
    <cellStyle name="Normal 10 5" xfId="3371"/>
    <cellStyle name="Normal 10 5 2" xfId="3372"/>
    <cellStyle name="Normal 10 5 2 2" xfId="3373"/>
    <cellStyle name="Normal 10 5 2 2 2" xfId="3374"/>
    <cellStyle name="Normal 10 5 2 2 2 2" xfId="3375"/>
    <cellStyle name="Normal 10 5 2 2 2 2 2" xfId="3376"/>
    <cellStyle name="Normal 10 5 2 2 2 3" xfId="3377"/>
    <cellStyle name="Normal 10 5 2 2 3" xfId="3378"/>
    <cellStyle name="Normal 10 5 2 2 3 2" xfId="3379"/>
    <cellStyle name="Normal 10 5 2 2 3 2 2" xfId="3380"/>
    <cellStyle name="Normal 10 5 2 2 3 3" xfId="3381"/>
    <cellStyle name="Normal 10 5 2 2 4" xfId="3382"/>
    <cellStyle name="Normal 10 5 2 2 4 2" xfId="3383"/>
    <cellStyle name="Normal 10 5 2 2 5" xfId="3384"/>
    <cellStyle name="Normal 10 5 2 3" xfId="3385"/>
    <cellStyle name="Normal 10 5 2 3 2" xfId="3386"/>
    <cellStyle name="Normal 10 5 2 3 2 2" xfId="3387"/>
    <cellStyle name="Normal 10 5 2 3 3" xfId="3388"/>
    <cellStyle name="Normal 10 5 2 4" xfId="3389"/>
    <cellStyle name="Normal 10 5 2 4 2" xfId="3390"/>
    <cellStyle name="Normal 10 5 2 4 2 2" xfId="3391"/>
    <cellStyle name="Normal 10 5 2 4 3" xfId="3392"/>
    <cellStyle name="Normal 10 5 2 5" xfId="3393"/>
    <cellStyle name="Normal 10 5 2 5 2" xfId="3394"/>
    <cellStyle name="Normal 10 5 2 6" xfId="3395"/>
    <cellStyle name="Normal 10 5 3" xfId="3396"/>
    <cellStyle name="Normal 10 5 3 2" xfId="3397"/>
    <cellStyle name="Normal 10 5 3 2 2" xfId="3398"/>
    <cellStyle name="Normal 10 5 3 2 2 2" xfId="3399"/>
    <cellStyle name="Normal 10 5 3 2 3" xfId="3400"/>
    <cellStyle name="Normal 10 5 3 3" xfId="3401"/>
    <cellStyle name="Normal 10 5 3 3 2" xfId="3402"/>
    <cellStyle name="Normal 10 5 3 3 2 2" xfId="3403"/>
    <cellStyle name="Normal 10 5 3 3 3" xfId="3404"/>
    <cellStyle name="Normal 10 5 3 4" xfId="3405"/>
    <cellStyle name="Normal 10 5 3 4 2" xfId="3406"/>
    <cellStyle name="Normal 10 5 3 5" xfId="3407"/>
    <cellStyle name="Normal 10 5 4" xfId="3408"/>
    <cellStyle name="Normal 10 5 4 2" xfId="3409"/>
    <cellStyle name="Normal 10 5 4 2 2" xfId="3410"/>
    <cellStyle name="Normal 10 5 4 3" xfId="3411"/>
    <cellStyle name="Normal 10 5 5" xfId="3412"/>
    <cellStyle name="Normal 10 5 5 2" xfId="3413"/>
    <cellStyle name="Normal 10 5 5 2 2" xfId="3414"/>
    <cellStyle name="Normal 10 5 5 3" xfId="3415"/>
    <cellStyle name="Normal 10 5 6" xfId="3416"/>
    <cellStyle name="Normal 10 5 6 2" xfId="3417"/>
    <cellStyle name="Normal 10 5 7" xfId="3418"/>
    <cellStyle name="Normal 10 6" xfId="3419"/>
    <cellStyle name="Normal 10 6 2" xfId="3420"/>
    <cellStyle name="Normal 10 6 2 2" xfId="3421"/>
    <cellStyle name="Normal 10 6 2 2 2" xfId="3422"/>
    <cellStyle name="Normal 10 6 2 2 2 2" xfId="3423"/>
    <cellStyle name="Normal 10 6 2 2 3" xfId="3424"/>
    <cellStyle name="Normal 10 6 2 3" xfId="3425"/>
    <cellStyle name="Normal 10 6 2 3 2" xfId="3426"/>
    <cellStyle name="Normal 10 6 2 3 2 2" xfId="3427"/>
    <cellStyle name="Normal 10 6 2 3 3" xfId="3428"/>
    <cellStyle name="Normal 10 6 2 4" xfId="3429"/>
    <cellStyle name="Normal 10 6 2 4 2" xfId="3430"/>
    <cellStyle name="Normal 10 6 2 5" xfId="3431"/>
    <cellStyle name="Normal 10 6 3" xfId="3432"/>
    <cellStyle name="Normal 10 6 3 2" xfId="3433"/>
    <cellStyle name="Normal 10 6 3 2 2" xfId="3434"/>
    <cellStyle name="Normal 10 6 3 3" xfId="3435"/>
    <cellStyle name="Normal 10 6 4" xfId="3436"/>
    <cellStyle name="Normal 10 6 4 2" xfId="3437"/>
    <cellStyle name="Normal 10 6 4 2 2" xfId="3438"/>
    <cellStyle name="Normal 10 6 4 3" xfId="3439"/>
    <cellStyle name="Normal 10 6 5" xfId="3440"/>
    <cellStyle name="Normal 10 6 5 2" xfId="3441"/>
    <cellStyle name="Normal 10 6 6" xfId="3442"/>
    <cellStyle name="Normal 10 7" xfId="3443"/>
    <cellStyle name="Normal 10 7 2" xfId="3444"/>
    <cellStyle name="Normal 10 7 2 2" xfId="3445"/>
    <cellStyle name="Normal 10 7 2 2 2" xfId="3446"/>
    <cellStyle name="Normal 10 7 2 3" xfId="3447"/>
    <cellStyle name="Normal 10 7 3" xfId="3448"/>
    <cellStyle name="Normal 10 7 3 2" xfId="3449"/>
    <cellStyle name="Normal 10 7 3 2 2" xfId="3450"/>
    <cellStyle name="Normal 10 7 3 3" xfId="3451"/>
    <cellStyle name="Normal 10 7 4" xfId="3452"/>
    <cellStyle name="Normal 10 7 4 2" xfId="3453"/>
    <cellStyle name="Normal 10 7 5" xfId="3454"/>
    <cellStyle name="Normal 10 8" xfId="3455"/>
    <cellStyle name="Normal 10 8 2" xfId="3456"/>
    <cellStyle name="Normal 10 8 2 2" xfId="3457"/>
    <cellStyle name="Normal 10 9" xfId="3458"/>
    <cellStyle name="Normal 10 9 2" xfId="3459"/>
    <cellStyle name="Normal 10 9 2 2" xfId="3460"/>
    <cellStyle name="Normal 10_2112 DF Schedule" xfId="3461"/>
    <cellStyle name="Normal 100" xfId="3462"/>
    <cellStyle name="Normal 100 2" xfId="3463"/>
    <cellStyle name="Normal 100 2 2" xfId="3464"/>
    <cellStyle name="Normal 100 3" xfId="3465"/>
    <cellStyle name="Normal 101" xfId="3466"/>
    <cellStyle name="Normal 101 2" xfId="3467"/>
    <cellStyle name="Normal 101 2 2" xfId="3468"/>
    <cellStyle name="Normal 102" xfId="3469"/>
    <cellStyle name="Normal 102 2" xfId="3470"/>
    <cellStyle name="Normal 102 2 2" xfId="3471"/>
    <cellStyle name="Normal 103" xfId="3472"/>
    <cellStyle name="Normal 103 2" xfId="3473"/>
    <cellStyle name="Normal 103 2 2" xfId="3474"/>
    <cellStyle name="Normal 104" xfId="3475"/>
    <cellStyle name="Normal 104 2" xfId="3476"/>
    <cellStyle name="Normal 104 2 2" xfId="3477"/>
    <cellStyle name="Normal 105" xfId="3478"/>
    <cellStyle name="Normal 105 2" xfId="3479"/>
    <cellStyle name="Normal 105 2 2" xfId="3480"/>
    <cellStyle name="Normal 106" xfId="3481"/>
    <cellStyle name="Normal 107" xfId="3482"/>
    <cellStyle name="Normal 107 2" xfId="3483"/>
    <cellStyle name="Normal 107 2 2" xfId="3484"/>
    <cellStyle name="Normal 108" xfId="3485"/>
    <cellStyle name="Normal 108 2" xfId="3486"/>
    <cellStyle name="Normal 108 2 2" xfId="3487"/>
    <cellStyle name="Normal 109" xfId="3488"/>
    <cellStyle name="Normal 109 2" xfId="3489"/>
    <cellStyle name="Normal 109 2 2" xfId="3490"/>
    <cellStyle name="Normal 109 3" xfId="3491"/>
    <cellStyle name="Normal 109 3 2" xfId="3492"/>
    <cellStyle name="Normal 109 4" xfId="3493"/>
    <cellStyle name="Normal 11" xfId="3494"/>
    <cellStyle name="Normal 11 10" xfId="3495"/>
    <cellStyle name="Normal 11 10 2" xfId="3496"/>
    <cellStyle name="Normal 11 11" xfId="3497"/>
    <cellStyle name="Normal 11 11 2" xfId="3498"/>
    <cellStyle name="Normal 11 12" xfId="3499"/>
    <cellStyle name="Normal 11 2" xfId="3500"/>
    <cellStyle name="Normal 11 2 2" xfId="3501"/>
    <cellStyle name="Normal 11 2 2 2" xfId="3502"/>
    <cellStyle name="Normal 11 2 2 2 2" xfId="3503"/>
    <cellStyle name="Normal 11 2 2 2 2 2" xfId="3504"/>
    <cellStyle name="Normal 11 2 2 2 2 2 2" xfId="3505"/>
    <cellStyle name="Normal 11 2 2 2 2 2 2 2" xfId="3506"/>
    <cellStyle name="Normal 11 2 2 2 2 2 2 2 2" xfId="3507"/>
    <cellStyle name="Normal 11 2 2 2 2 2 2 3" xfId="3508"/>
    <cellStyle name="Normal 11 2 2 2 2 2 3" xfId="3509"/>
    <cellStyle name="Normal 11 2 2 2 2 2 3 2" xfId="3510"/>
    <cellStyle name="Normal 11 2 2 2 2 2 3 2 2" xfId="3511"/>
    <cellStyle name="Normal 11 2 2 2 2 2 3 3" xfId="3512"/>
    <cellStyle name="Normal 11 2 2 2 2 2 4" xfId="3513"/>
    <cellStyle name="Normal 11 2 2 2 2 2 4 2" xfId="3514"/>
    <cellStyle name="Normal 11 2 2 2 2 2 5" xfId="3515"/>
    <cellStyle name="Normal 11 2 2 2 2 3" xfId="3516"/>
    <cellStyle name="Normal 11 2 2 2 2 3 2" xfId="3517"/>
    <cellStyle name="Normal 11 2 2 2 2 3 2 2" xfId="3518"/>
    <cellStyle name="Normal 11 2 2 2 2 3 3" xfId="3519"/>
    <cellStyle name="Normal 11 2 2 2 2 4" xfId="3520"/>
    <cellStyle name="Normal 11 2 2 2 2 4 2" xfId="3521"/>
    <cellStyle name="Normal 11 2 2 2 2 4 2 2" xfId="3522"/>
    <cellStyle name="Normal 11 2 2 2 2 4 3" xfId="3523"/>
    <cellStyle name="Normal 11 2 2 2 2 5" xfId="3524"/>
    <cellStyle name="Normal 11 2 2 2 2 5 2" xfId="3525"/>
    <cellStyle name="Normal 11 2 2 2 2 6" xfId="3526"/>
    <cellStyle name="Normal 11 2 2 2 3" xfId="3527"/>
    <cellStyle name="Normal 11 2 2 2 3 2" xfId="3528"/>
    <cellStyle name="Normal 11 2 2 2 3 2 2" xfId="3529"/>
    <cellStyle name="Normal 11 2 2 2 3 2 2 2" xfId="3530"/>
    <cellStyle name="Normal 11 2 2 2 3 2 3" xfId="3531"/>
    <cellStyle name="Normal 11 2 2 2 3 3" xfId="3532"/>
    <cellStyle name="Normal 11 2 2 2 3 3 2" xfId="3533"/>
    <cellStyle name="Normal 11 2 2 2 3 3 2 2" xfId="3534"/>
    <cellStyle name="Normal 11 2 2 2 3 3 3" xfId="3535"/>
    <cellStyle name="Normal 11 2 2 2 3 4" xfId="3536"/>
    <cellStyle name="Normal 11 2 2 2 3 4 2" xfId="3537"/>
    <cellStyle name="Normal 11 2 2 2 3 5" xfId="3538"/>
    <cellStyle name="Normal 11 2 2 2 4" xfId="3539"/>
    <cellStyle name="Normal 11 2 2 2 4 2" xfId="3540"/>
    <cellStyle name="Normal 11 2 2 2 4 2 2" xfId="3541"/>
    <cellStyle name="Normal 11 2 2 2 4 3" xfId="3542"/>
    <cellStyle name="Normal 11 2 2 2 5" xfId="3543"/>
    <cellStyle name="Normal 11 2 2 2 5 2" xfId="3544"/>
    <cellStyle name="Normal 11 2 2 2 5 2 2" xfId="3545"/>
    <cellStyle name="Normal 11 2 2 2 5 3" xfId="3546"/>
    <cellStyle name="Normal 11 2 2 2 6" xfId="3547"/>
    <cellStyle name="Normal 11 2 2 2 6 2" xfId="3548"/>
    <cellStyle name="Normal 11 2 2 3" xfId="3549"/>
    <cellStyle name="Normal 11 2 2 3 2" xfId="3550"/>
    <cellStyle name="Normal 11 2 2 3 2 2" xfId="3551"/>
    <cellStyle name="Normal 11 2 2 3 2 2 2" xfId="3552"/>
    <cellStyle name="Normal 11 2 2 3 2 2 2 2" xfId="3553"/>
    <cellStyle name="Normal 11 2 2 3 2 2 3" xfId="3554"/>
    <cellStyle name="Normal 11 2 2 3 2 3" xfId="3555"/>
    <cellStyle name="Normal 11 2 2 3 2 3 2" xfId="3556"/>
    <cellStyle name="Normal 11 2 2 3 2 3 2 2" xfId="3557"/>
    <cellStyle name="Normal 11 2 2 3 2 3 3" xfId="3558"/>
    <cellStyle name="Normal 11 2 2 3 2 4" xfId="3559"/>
    <cellStyle name="Normal 11 2 2 3 2 4 2" xfId="3560"/>
    <cellStyle name="Normal 11 2 2 3 2 5" xfId="3561"/>
    <cellStyle name="Normal 11 2 2 3 3" xfId="3562"/>
    <cellStyle name="Normal 11 2 2 3 3 2" xfId="3563"/>
    <cellStyle name="Normal 11 2 2 3 3 2 2" xfId="3564"/>
    <cellStyle name="Normal 11 2 2 3 3 3" xfId="3565"/>
    <cellStyle name="Normal 11 2 2 3 4" xfId="3566"/>
    <cellStyle name="Normal 11 2 2 3 4 2" xfId="3567"/>
    <cellStyle name="Normal 11 2 2 3 4 2 2" xfId="3568"/>
    <cellStyle name="Normal 11 2 2 3 4 3" xfId="3569"/>
    <cellStyle name="Normal 11 2 2 3 5" xfId="3570"/>
    <cellStyle name="Normal 11 2 2 3 5 2" xfId="3571"/>
    <cellStyle name="Normal 11 2 2 3 6" xfId="3572"/>
    <cellStyle name="Normal 11 2 2 4" xfId="3573"/>
    <cellStyle name="Normal 11 2 2 4 2" xfId="3574"/>
    <cellStyle name="Normal 11 2 2 4 2 2" xfId="3575"/>
    <cellStyle name="Normal 11 2 2 4 2 2 2" xfId="3576"/>
    <cellStyle name="Normal 11 2 2 4 2 3" xfId="3577"/>
    <cellStyle name="Normal 11 2 2 4 3" xfId="3578"/>
    <cellStyle name="Normal 11 2 2 4 3 2" xfId="3579"/>
    <cellStyle name="Normal 11 2 2 4 3 2 2" xfId="3580"/>
    <cellStyle name="Normal 11 2 2 4 3 3" xfId="3581"/>
    <cellStyle name="Normal 11 2 2 4 4" xfId="3582"/>
    <cellStyle name="Normal 11 2 2 4 4 2" xfId="3583"/>
    <cellStyle name="Normal 11 2 2 4 5" xfId="3584"/>
    <cellStyle name="Normal 11 2 2 5" xfId="3585"/>
    <cellStyle name="Normal 11 2 2 5 2" xfId="3586"/>
    <cellStyle name="Normal 11 2 2 5 2 2" xfId="3587"/>
    <cellStyle name="Normal 11 2 2 5 3" xfId="3588"/>
    <cellStyle name="Normal 11 2 2 6" xfId="3589"/>
    <cellStyle name="Normal 11 2 2 6 2" xfId="3590"/>
    <cellStyle name="Normal 11 2 2 6 2 2" xfId="3591"/>
    <cellStyle name="Normal 11 2 2 6 3" xfId="3592"/>
    <cellStyle name="Normal 11 2 2 7" xfId="3593"/>
    <cellStyle name="Normal 11 2 2 7 2" xfId="3594"/>
    <cellStyle name="Normal 11 2 3" xfId="3595"/>
    <cellStyle name="Normal 11 2 3 2" xfId="3596"/>
    <cellStyle name="Normal 11 2 3 2 2" xfId="3597"/>
    <cellStyle name="Normal 11 2 3 2 2 2" xfId="3598"/>
    <cellStyle name="Normal 11 2 3 2 2 2 2" xfId="3599"/>
    <cellStyle name="Normal 11 2 3 2 2 2 2 2" xfId="3600"/>
    <cellStyle name="Normal 11 2 3 2 2 2 3" xfId="3601"/>
    <cellStyle name="Normal 11 2 3 2 2 3" xfId="3602"/>
    <cellStyle name="Normal 11 2 3 2 2 3 2" xfId="3603"/>
    <cellStyle name="Normal 11 2 3 2 2 3 2 2" xfId="3604"/>
    <cellStyle name="Normal 11 2 3 2 2 3 3" xfId="3605"/>
    <cellStyle name="Normal 11 2 3 2 2 4" xfId="3606"/>
    <cellStyle name="Normal 11 2 3 2 2 4 2" xfId="3607"/>
    <cellStyle name="Normal 11 2 3 2 2 5" xfId="3608"/>
    <cellStyle name="Normal 11 2 3 2 3" xfId="3609"/>
    <cellStyle name="Normal 11 2 3 2 3 2" xfId="3610"/>
    <cellStyle name="Normal 11 2 3 2 3 2 2" xfId="3611"/>
    <cellStyle name="Normal 11 2 3 2 3 3" xfId="3612"/>
    <cellStyle name="Normal 11 2 3 2 4" xfId="3613"/>
    <cellStyle name="Normal 11 2 3 2 4 2" xfId="3614"/>
    <cellStyle name="Normal 11 2 3 2 4 2 2" xfId="3615"/>
    <cellStyle name="Normal 11 2 3 2 4 3" xfId="3616"/>
    <cellStyle name="Normal 11 2 3 2 5" xfId="3617"/>
    <cellStyle name="Normal 11 2 3 2 5 2" xfId="3618"/>
    <cellStyle name="Normal 11 2 3 2 6" xfId="3619"/>
    <cellStyle name="Normal 11 2 3 3" xfId="3620"/>
    <cellStyle name="Normal 11 2 3 3 2" xfId="3621"/>
    <cellStyle name="Normal 11 2 3 3 2 2" xfId="3622"/>
    <cellStyle name="Normal 11 2 3 3 2 2 2" xfId="3623"/>
    <cellStyle name="Normal 11 2 3 3 2 3" xfId="3624"/>
    <cellStyle name="Normal 11 2 3 3 3" xfId="3625"/>
    <cellStyle name="Normal 11 2 3 3 3 2" xfId="3626"/>
    <cellStyle name="Normal 11 2 3 3 3 2 2" xfId="3627"/>
    <cellStyle name="Normal 11 2 3 3 3 3" xfId="3628"/>
    <cellStyle name="Normal 11 2 3 3 4" xfId="3629"/>
    <cellStyle name="Normal 11 2 3 3 4 2" xfId="3630"/>
    <cellStyle name="Normal 11 2 3 3 5" xfId="3631"/>
    <cellStyle name="Normal 11 2 3 4" xfId="3632"/>
    <cellStyle name="Normal 11 2 3 4 2" xfId="3633"/>
    <cellStyle name="Normal 11 2 3 4 2 2" xfId="3634"/>
    <cellStyle name="Normal 11 2 3 4 3" xfId="3635"/>
    <cellStyle name="Normal 11 2 3 5" xfId="3636"/>
    <cellStyle name="Normal 11 2 3 5 2" xfId="3637"/>
    <cellStyle name="Normal 11 2 3 5 2 2" xfId="3638"/>
    <cellStyle name="Normal 11 2 3 5 3" xfId="3639"/>
    <cellStyle name="Normal 11 2 3 6" xfId="3640"/>
    <cellStyle name="Normal 11 2 3 6 2" xfId="3641"/>
    <cellStyle name="Normal 11 2 4" xfId="3642"/>
    <cellStyle name="Normal 11 2 4 2" xfId="3643"/>
    <cellStyle name="Normal 11 2 4 2 2" xfId="3644"/>
    <cellStyle name="Normal 11 2 4 2 2 2" xfId="3645"/>
    <cellStyle name="Normal 11 2 4 2 2 2 2" xfId="3646"/>
    <cellStyle name="Normal 11 2 4 2 2 3" xfId="3647"/>
    <cellStyle name="Normal 11 2 4 2 3" xfId="3648"/>
    <cellStyle name="Normal 11 2 4 2 3 2" xfId="3649"/>
    <cellStyle name="Normal 11 2 4 2 3 2 2" xfId="3650"/>
    <cellStyle name="Normal 11 2 4 2 3 3" xfId="3651"/>
    <cellStyle name="Normal 11 2 4 2 4" xfId="3652"/>
    <cellStyle name="Normal 11 2 4 2 4 2" xfId="3653"/>
    <cellStyle name="Normal 11 2 4 2 5" xfId="3654"/>
    <cellStyle name="Normal 11 2 4 3" xfId="3655"/>
    <cellStyle name="Normal 11 2 4 3 2" xfId="3656"/>
    <cellStyle name="Normal 11 2 4 3 2 2" xfId="3657"/>
    <cellStyle name="Normal 11 2 4 3 3" xfId="3658"/>
    <cellStyle name="Normal 11 2 4 4" xfId="3659"/>
    <cellStyle name="Normal 11 2 4 4 2" xfId="3660"/>
    <cellStyle name="Normal 11 2 4 4 2 2" xfId="3661"/>
    <cellStyle name="Normal 11 2 4 4 3" xfId="3662"/>
    <cellStyle name="Normal 11 2 4 5" xfId="3663"/>
    <cellStyle name="Normal 11 2 4 5 2" xfId="3664"/>
    <cellStyle name="Normal 11 2 4 6" xfId="3665"/>
    <cellStyle name="Normal 11 2 5" xfId="3666"/>
    <cellStyle name="Normal 11 2 5 2" xfId="3667"/>
    <cellStyle name="Normal 11 2 5 2 2" xfId="3668"/>
    <cellStyle name="Normal 11 2 5 2 2 2" xfId="3669"/>
    <cellStyle name="Normal 11 2 5 2 3" xfId="3670"/>
    <cellStyle name="Normal 11 2 5 3" xfId="3671"/>
    <cellStyle name="Normal 11 2 5 3 2" xfId="3672"/>
    <cellStyle name="Normal 11 2 5 3 2 2" xfId="3673"/>
    <cellStyle name="Normal 11 2 5 3 3" xfId="3674"/>
    <cellStyle name="Normal 11 2 5 4" xfId="3675"/>
    <cellStyle name="Normal 11 2 5 4 2" xfId="3676"/>
    <cellStyle name="Normal 11 2 5 5" xfId="3677"/>
    <cellStyle name="Normal 11 2 6" xfId="3678"/>
    <cellStyle name="Normal 11 2 6 2" xfId="3679"/>
    <cellStyle name="Normal 11 2 6 2 2" xfId="3680"/>
    <cellStyle name="Normal 11 2 6 3" xfId="3681"/>
    <cellStyle name="Normal 11 2 7" xfId="3682"/>
    <cellStyle name="Normal 11 2 7 2" xfId="3683"/>
    <cellStyle name="Normal 11 2 7 2 2" xfId="3684"/>
    <cellStyle name="Normal 11 2 8" xfId="3685"/>
    <cellStyle name="Normal 11 2 8 2" xfId="3686"/>
    <cellStyle name="Normal 11 2 9" xfId="3687"/>
    <cellStyle name="Normal 11 3" xfId="3688"/>
    <cellStyle name="Normal 11 3 2" xfId="3689"/>
    <cellStyle name="Normal 11 3 2 2" xfId="3690"/>
    <cellStyle name="Normal 11 3 2 2 2" xfId="3691"/>
    <cellStyle name="Normal 11 3 2 2 2 2" xfId="3692"/>
    <cellStyle name="Normal 11 3 2 2 2 2 2" xfId="3693"/>
    <cellStyle name="Normal 11 3 2 2 2 2 2 2" xfId="3694"/>
    <cellStyle name="Normal 11 3 2 2 2 2 3" xfId="3695"/>
    <cellStyle name="Normal 11 3 2 2 2 3" xfId="3696"/>
    <cellStyle name="Normal 11 3 2 2 2 3 2" xfId="3697"/>
    <cellStyle name="Normal 11 3 2 2 2 3 2 2" xfId="3698"/>
    <cellStyle name="Normal 11 3 2 2 2 3 3" xfId="3699"/>
    <cellStyle name="Normal 11 3 2 2 2 4" xfId="3700"/>
    <cellStyle name="Normal 11 3 2 2 2 4 2" xfId="3701"/>
    <cellStyle name="Normal 11 3 2 2 2 5" xfId="3702"/>
    <cellStyle name="Normal 11 3 2 2 3" xfId="3703"/>
    <cellStyle name="Normal 11 3 2 2 3 2" xfId="3704"/>
    <cellStyle name="Normal 11 3 2 2 3 2 2" xfId="3705"/>
    <cellStyle name="Normal 11 3 2 2 3 3" xfId="3706"/>
    <cellStyle name="Normal 11 3 2 2 4" xfId="3707"/>
    <cellStyle name="Normal 11 3 2 2 4 2" xfId="3708"/>
    <cellStyle name="Normal 11 3 2 2 4 2 2" xfId="3709"/>
    <cellStyle name="Normal 11 3 2 2 4 3" xfId="3710"/>
    <cellStyle name="Normal 11 3 2 2 5" xfId="3711"/>
    <cellStyle name="Normal 11 3 2 2 5 2" xfId="3712"/>
    <cellStyle name="Normal 11 3 2 2 6" xfId="3713"/>
    <cellStyle name="Normal 11 3 2 3" xfId="3714"/>
    <cellStyle name="Normal 11 3 2 3 2" xfId="3715"/>
    <cellStyle name="Normal 11 3 2 3 2 2" xfId="3716"/>
    <cellStyle name="Normal 11 3 2 3 2 2 2" xfId="3717"/>
    <cellStyle name="Normal 11 3 2 3 2 3" xfId="3718"/>
    <cellStyle name="Normal 11 3 2 3 3" xfId="3719"/>
    <cellStyle name="Normal 11 3 2 3 3 2" xfId="3720"/>
    <cellStyle name="Normal 11 3 2 3 3 2 2" xfId="3721"/>
    <cellStyle name="Normal 11 3 2 3 3 3" xfId="3722"/>
    <cellStyle name="Normal 11 3 2 3 4" xfId="3723"/>
    <cellStyle name="Normal 11 3 2 3 4 2" xfId="3724"/>
    <cellStyle name="Normal 11 3 2 3 5" xfId="3725"/>
    <cellStyle name="Normal 11 3 2 4" xfId="3726"/>
    <cellStyle name="Normal 11 3 2 4 2" xfId="3727"/>
    <cellStyle name="Normal 11 3 2 4 2 2" xfId="3728"/>
    <cellStyle name="Normal 11 3 2 4 3" xfId="3729"/>
    <cellStyle name="Normal 11 3 2 5" xfId="3730"/>
    <cellStyle name="Normal 11 3 2 5 2" xfId="3731"/>
    <cellStyle name="Normal 11 3 2 5 2 2" xfId="3732"/>
    <cellStyle name="Normal 11 3 2 5 3" xfId="3733"/>
    <cellStyle name="Normal 11 3 2 6" xfId="3734"/>
    <cellStyle name="Normal 11 3 2 6 2" xfId="3735"/>
    <cellStyle name="Normal 11 3 2 7" xfId="3736"/>
    <cellStyle name="Normal 11 3 3" xfId="3737"/>
    <cellStyle name="Normal 11 3 3 2" xfId="3738"/>
    <cellStyle name="Normal 11 3 3 2 2" xfId="3739"/>
    <cellStyle name="Normal 11 3 3 2 2 2" xfId="3740"/>
    <cellStyle name="Normal 11 3 3 2 2 2 2" xfId="3741"/>
    <cellStyle name="Normal 11 3 3 2 2 3" xfId="3742"/>
    <cellStyle name="Normal 11 3 3 2 3" xfId="3743"/>
    <cellStyle name="Normal 11 3 3 2 3 2" xfId="3744"/>
    <cellStyle name="Normal 11 3 3 2 3 2 2" xfId="3745"/>
    <cellStyle name="Normal 11 3 3 2 3 3" xfId="3746"/>
    <cellStyle name="Normal 11 3 3 2 4" xfId="3747"/>
    <cellStyle name="Normal 11 3 3 2 4 2" xfId="3748"/>
    <cellStyle name="Normal 11 3 3 2 5" xfId="3749"/>
    <cellStyle name="Normal 11 3 3 3" xfId="3750"/>
    <cellStyle name="Normal 11 3 3 3 2" xfId="3751"/>
    <cellStyle name="Normal 11 3 3 3 2 2" xfId="3752"/>
    <cellStyle name="Normal 11 3 3 3 3" xfId="3753"/>
    <cellStyle name="Normal 11 3 3 4" xfId="3754"/>
    <cellStyle name="Normal 11 3 3 4 2" xfId="3755"/>
    <cellStyle name="Normal 11 3 3 4 2 2" xfId="3756"/>
    <cellStyle name="Normal 11 3 3 4 3" xfId="3757"/>
    <cellStyle name="Normal 11 3 3 5" xfId="3758"/>
    <cellStyle name="Normal 11 3 3 5 2" xfId="3759"/>
    <cellStyle name="Normal 11 3 3 6" xfId="3760"/>
    <cellStyle name="Normal 11 3 4" xfId="3761"/>
    <cellStyle name="Normal 11 3 4 2" xfId="3762"/>
    <cellStyle name="Normal 11 3 4 2 2" xfId="3763"/>
    <cellStyle name="Normal 11 3 4 2 2 2" xfId="3764"/>
    <cellStyle name="Normal 11 3 4 2 3" xfId="3765"/>
    <cellStyle name="Normal 11 3 4 3" xfId="3766"/>
    <cellStyle name="Normal 11 3 4 3 2" xfId="3767"/>
    <cellStyle name="Normal 11 3 4 3 2 2" xfId="3768"/>
    <cellStyle name="Normal 11 3 4 3 3" xfId="3769"/>
    <cellStyle name="Normal 11 3 4 4" xfId="3770"/>
    <cellStyle name="Normal 11 3 4 4 2" xfId="3771"/>
    <cellStyle name="Normal 11 3 5" xfId="3772"/>
    <cellStyle name="Normal 11 3 5 2" xfId="3773"/>
    <cellStyle name="Normal 11 3 5 2 2" xfId="3774"/>
    <cellStyle name="Normal 11 3 5 3" xfId="3775"/>
    <cellStyle name="Normal 11 3 6" xfId="3776"/>
    <cellStyle name="Normal 11 3 6 2" xfId="3777"/>
    <cellStyle name="Normal 11 3 6 2 2" xfId="3778"/>
    <cellStyle name="Normal 11 3 6 3" xfId="3779"/>
    <cellStyle name="Normal 11 3 7" xfId="3780"/>
    <cellStyle name="Normal 11 3 7 2" xfId="3781"/>
    <cellStyle name="Normal 11 3 8" xfId="3782"/>
    <cellStyle name="Normal 11 3 9" xfId="3783"/>
    <cellStyle name="Normal 11 4" xfId="3784"/>
    <cellStyle name="Normal 11 4 2" xfId="3785"/>
    <cellStyle name="Normal 11 4 2 2" xfId="3786"/>
    <cellStyle name="Normal 11 4 2 2 2" xfId="3787"/>
    <cellStyle name="Normal 11 4 2 2 2 2" xfId="3788"/>
    <cellStyle name="Normal 11 4 2 2 2 2 2" xfId="3789"/>
    <cellStyle name="Normal 11 4 2 2 2 2 2 2" xfId="3790"/>
    <cellStyle name="Normal 11 4 2 2 2 2 3" xfId="3791"/>
    <cellStyle name="Normal 11 4 2 2 2 3" xfId="3792"/>
    <cellStyle name="Normal 11 4 2 2 2 3 2" xfId="3793"/>
    <cellStyle name="Normal 11 4 2 2 2 3 2 2" xfId="3794"/>
    <cellStyle name="Normal 11 4 2 2 2 3 3" xfId="3795"/>
    <cellStyle name="Normal 11 4 2 2 2 4" xfId="3796"/>
    <cellStyle name="Normal 11 4 2 2 2 4 2" xfId="3797"/>
    <cellStyle name="Normal 11 4 2 2 2 5" xfId="3798"/>
    <cellStyle name="Normal 11 4 2 2 3" xfId="3799"/>
    <cellStyle name="Normal 11 4 2 2 3 2" xfId="3800"/>
    <cellStyle name="Normal 11 4 2 2 3 2 2" xfId="3801"/>
    <cellStyle name="Normal 11 4 2 2 3 3" xfId="3802"/>
    <cellStyle name="Normal 11 4 2 2 4" xfId="3803"/>
    <cellStyle name="Normal 11 4 2 2 4 2" xfId="3804"/>
    <cellStyle name="Normal 11 4 2 2 4 2 2" xfId="3805"/>
    <cellStyle name="Normal 11 4 2 2 4 3" xfId="3806"/>
    <cellStyle name="Normal 11 4 2 2 5" xfId="3807"/>
    <cellStyle name="Normal 11 4 2 2 5 2" xfId="3808"/>
    <cellStyle name="Normal 11 4 2 2 6" xfId="3809"/>
    <cellStyle name="Normal 11 4 2 3" xfId="3810"/>
    <cellStyle name="Normal 11 4 2 3 2" xfId="3811"/>
    <cellStyle name="Normal 11 4 2 3 2 2" xfId="3812"/>
    <cellStyle name="Normal 11 4 2 3 2 2 2" xfId="3813"/>
    <cellStyle name="Normal 11 4 2 3 2 3" xfId="3814"/>
    <cellStyle name="Normal 11 4 2 3 3" xfId="3815"/>
    <cellStyle name="Normal 11 4 2 3 3 2" xfId="3816"/>
    <cellStyle name="Normal 11 4 2 3 3 2 2" xfId="3817"/>
    <cellStyle name="Normal 11 4 2 3 3 3" xfId="3818"/>
    <cellStyle name="Normal 11 4 2 3 4" xfId="3819"/>
    <cellStyle name="Normal 11 4 2 3 4 2" xfId="3820"/>
    <cellStyle name="Normal 11 4 2 3 5" xfId="3821"/>
    <cellStyle name="Normal 11 4 2 4" xfId="3822"/>
    <cellStyle name="Normal 11 4 2 4 2" xfId="3823"/>
    <cellStyle name="Normal 11 4 2 4 2 2" xfId="3824"/>
    <cellStyle name="Normal 11 4 2 4 3" xfId="3825"/>
    <cellStyle name="Normal 11 4 2 5" xfId="3826"/>
    <cellStyle name="Normal 11 4 2 5 2" xfId="3827"/>
    <cellStyle name="Normal 11 4 2 5 2 2" xfId="3828"/>
    <cellStyle name="Normal 11 4 2 5 3" xfId="3829"/>
    <cellStyle name="Normal 11 4 2 6" xfId="3830"/>
    <cellStyle name="Normal 11 4 2 6 2" xfId="3831"/>
    <cellStyle name="Normal 11 4 2 7" xfId="3832"/>
    <cellStyle name="Normal 11 4 3" xfId="3833"/>
    <cellStyle name="Normal 11 4 3 2" xfId="3834"/>
    <cellStyle name="Normal 11 4 3 2 2" xfId="3835"/>
    <cellStyle name="Normal 11 4 3 2 2 2" xfId="3836"/>
    <cellStyle name="Normal 11 4 3 2 2 2 2" xfId="3837"/>
    <cellStyle name="Normal 11 4 3 2 2 3" xfId="3838"/>
    <cellStyle name="Normal 11 4 3 2 3" xfId="3839"/>
    <cellStyle name="Normal 11 4 3 2 3 2" xfId="3840"/>
    <cellStyle name="Normal 11 4 3 2 3 2 2" xfId="3841"/>
    <cellStyle name="Normal 11 4 3 2 3 3" xfId="3842"/>
    <cellStyle name="Normal 11 4 3 2 4" xfId="3843"/>
    <cellStyle name="Normal 11 4 3 2 4 2" xfId="3844"/>
    <cellStyle name="Normal 11 4 3 2 5" xfId="3845"/>
    <cellStyle name="Normal 11 4 3 3" xfId="3846"/>
    <cellStyle name="Normal 11 4 3 3 2" xfId="3847"/>
    <cellStyle name="Normal 11 4 3 3 2 2" xfId="3848"/>
    <cellStyle name="Normal 11 4 3 3 3" xfId="3849"/>
    <cellStyle name="Normal 11 4 3 4" xfId="3850"/>
    <cellStyle name="Normal 11 4 3 4 2" xfId="3851"/>
    <cellStyle name="Normal 11 4 3 4 2 2" xfId="3852"/>
    <cellStyle name="Normal 11 4 3 4 3" xfId="3853"/>
    <cellStyle name="Normal 11 4 3 5" xfId="3854"/>
    <cellStyle name="Normal 11 4 3 5 2" xfId="3855"/>
    <cellStyle name="Normal 11 4 3 6" xfId="3856"/>
    <cellStyle name="Normal 11 4 4" xfId="3857"/>
    <cellStyle name="Normal 11 4 4 2" xfId="3858"/>
    <cellStyle name="Normal 11 4 4 2 2" xfId="3859"/>
    <cellStyle name="Normal 11 4 4 2 2 2" xfId="3860"/>
    <cellStyle name="Normal 11 4 4 2 3" xfId="3861"/>
    <cellStyle name="Normal 11 4 4 3" xfId="3862"/>
    <cellStyle name="Normal 11 4 4 3 2" xfId="3863"/>
    <cellStyle name="Normal 11 4 4 3 2 2" xfId="3864"/>
    <cellStyle name="Normal 11 4 4 3 3" xfId="3865"/>
    <cellStyle name="Normal 11 4 4 4" xfId="3866"/>
    <cellStyle name="Normal 11 4 4 4 2" xfId="3867"/>
    <cellStyle name="Normal 11 4 4 5" xfId="3868"/>
    <cellStyle name="Normal 11 4 5" xfId="3869"/>
    <cellStyle name="Normal 11 4 5 2" xfId="3870"/>
    <cellStyle name="Normal 11 4 5 2 2" xfId="3871"/>
    <cellStyle name="Normal 11 4 5 3" xfId="3872"/>
    <cellStyle name="Normal 11 4 6" xfId="3873"/>
    <cellStyle name="Normal 11 4 6 2" xfId="3874"/>
    <cellStyle name="Normal 11 4 6 2 2" xfId="3875"/>
    <cellStyle name="Normal 11 4 6 3" xfId="3876"/>
    <cellStyle name="Normal 11 4 7" xfId="3877"/>
    <cellStyle name="Normal 11 4 7 2" xfId="3878"/>
    <cellStyle name="Normal 11 4 8" xfId="3879"/>
    <cellStyle name="Normal 11 5" xfId="3880"/>
    <cellStyle name="Normal 11 5 10" xfId="3881"/>
    <cellStyle name="Normal 11 5 10 2" xfId="3882"/>
    <cellStyle name="Normal 11 5 10 2 2" xfId="3883"/>
    <cellStyle name="Normal 11 5 10 3" xfId="3884"/>
    <cellStyle name="Normal 11 5 10 3 2" xfId="3885"/>
    <cellStyle name="Normal 11 5 10 4" xfId="3886"/>
    <cellStyle name="Normal 11 5 11" xfId="3887"/>
    <cellStyle name="Normal 11 5 11 2" xfId="3888"/>
    <cellStyle name="Normal 11 5 11 2 2" xfId="3889"/>
    <cellStyle name="Normal 11 5 11 3" xfId="3890"/>
    <cellStyle name="Normal 11 5 12" xfId="3891"/>
    <cellStyle name="Normal 11 5 12 2" xfId="3892"/>
    <cellStyle name="Normal 11 5 12 2 2" xfId="3893"/>
    <cellStyle name="Normal 11 5 12 3" xfId="3894"/>
    <cellStyle name="Normal 11 5 13" xfId="3895"/>
    <cellStyle name="Normal 11 5 13 2" xfId="3896"/>
    <cellStyle name="Normal 11 5 14" xfId="3897"/>
    <cellStyle name="Normal 11 5 14 2" xfId="3898"/>
    <cellStyle name="Normal 11 5 15" xfId="3899"/>
    <cellStyle name="Normal 11 5 15 2" xfId="3900"/>
    <cellStyle name="Normal 11 5 16" xfId="3901"/>
    <cellStyle name="Normal 11 5 16 2" xfId="3902"/>
    <cellStyle name="Normal 11 5 17" xfId="3903"/>
    <cellStyle name="Normal 11 5 17 2" xfId="3904"/>
    <cellStyle name="Normal 11 5 18" xfId="3905"/>
    <cellStyle name="Normal 11 5 18 2" xfId="3906"/>
    <cellStyle name="Normal 11 5 19" xfId="3907"/>
    <cellStyle name="Normal 11 5 19 2" xfId="3908"/>
    <cellStyle name="Normal 11 5 19 2 2" xfId="3909"/>
    <cellStyle name="Normal 11 5 19 3" xfId="3910"/>
    <cellStyle name="Normal 11 5 19 3 2" xfId="3911"/>
    <cellStyle name="Normal 11 5 19 4" xfId="3912"/>
    <cellStyle name="Normal 11 5 19 4 2" xfId="3913"/>
    <cellStyle name="Normal 11 5 19 5" xfId="3914"/>
    <cellStyle name="Normal 11 5 19 5 2" xfId="3915"/>
    <cellStyle name="Normal 11 5 19 6" xfId="3916"/>
    <cellStyle name="Normal 11 5 19 6 2" xfId="3917"/>
    <cellStyle name="Normal 11 5 19 7" xfId="3918"/>
    <cellStyle name="Normal 11 5 2" xfId="3919"/>
    <cellStyle name="Normal 11 5 2 2" xfId="3920"/>
    <cellStyle name="Normal 11 5 2 2 2" xfId="3921"/>
    <cellStyle name="Normal 11 5 2 2 2 2" xfId="3922"/>
    <cellStyle name="Normal 11 5 2 2 2 2 2" xfId="3923"/>
    <cellStyle name="Normal 11 5 2 2 2 3" xfId="3924"/>
    <cellStyle name="Normal 11 5 2 2 3" xfId="3925"/>
    <cellStyle name="Normal 11 5 2 2 3 2" xfId="3926"/>
    <cellStyle name="Normal 11 5 2 2 3 2 2" xfId="3927"/>
    <cellStyle name="Normal 11 5 2 2 3 3" xfId="3928"/>
    <cellStyle name="Normal 11 5 2 2 4" xfId="3929"/>
    <cellStyle name="Normal 11 5 2 2 4 2" xfId="3930"/>
    <cellStyle name="Normal 11 5 2 2 5" xfId="3931"/>
    <cellStyle name="Normal 11 5 2 2 5 2" xfId="3932"/>
    <cellStyle name="Normal 11 5 2 2 6" xfId="3933"/>
    <cellStyle name="Normal 11 5 2 3" xfId="3934"/>
    <cellStyle name="Normal 11 5 2 3 2" xfId="3935"/>
    <cellStyle name="Normal 11 5 2 3 2 2" xfId="3936"/>
    <cellStyle name="Normal 11 5 2 3 3" xfId="3937"/>
    <cellStyle name="Normal 11 5 2 3 3 2" xfId="3938"/>
    <cellStyle name="Normal 11 5 2 3 4" xfId="3939"/>
    <cellStyle name="Normal 11 5 2 4" xfId="3940"/>
    <cellStyle name="Normal 11 5 2 4 2" xfId="3941"/>
    <cellStyle name="Normal 11 5 2 4 2 2" xfId="3942"/>
    <cellStyle name="Normal 11 5 2 4 3" xfId="3943"/>
    <cellStyle name="Normal 11 5 2 4 3 2" xfId="3944"/>
    <cellStyle name="Normal 11 5 2 4 4" xfId="3945"/>
    <cellStyle name="Normal 11 5 2 5" xfId="3946"/>
    <cellStyle name="Normal 11 5 2 5 2" xfId="3947"/>
    <cellStyle name="Normal 11 5 2 6" xfId="3948"/>
    <cellStyle name="Normal 11 5 2 6 2" xfId="3949"/>
    <cellStyle name="Normal 11 5 2 7" xfId="3950"/>
    <cellStyle name="Normal 11 5 20" xfId="3951"/>
    <cellStyle name="Normal 11 5 20 2" xfId="3952"/>
    <cellStyle name="Normal 11 5 21" xfId="3953"/>
    <cellStyle name="Normal 11 5 21 2" xfId="3954"/>
    <cellStyle name="Normal 11 5 22" xfId="3955"/>
    <cellStyle name="Normal 11 5 22 2" xfId="3956"/>
    <cellStyle name="Normal 11 5 23" xfId="3957"/>
    <cellStyle name="Normal 11 5 23 2" xfId="3958"/>
    <cellStyle name="Normal 11 5 24" xfId="3959"/>
    <cellStyle name="Normal 11 5 24 2" xfId="3960"/>
    <cellStyle name="Normal 11 5 25" xfId="3961"/>
    <cellStyle name="Normal 11 5 25 2" xfId="3962"/>
    <cellStyle name="Normal 11 5 26" xfId="3963"/>
    <cellStyle name="Normal 11 5 26 2" xfId="3964"/>
    <cellStyle name="Normal 11 5 27" xfId="3965"/>
    <cellStyle name="Normal 11 5 27 2" xfId="3966"/>
    <cellStyle name="Normal 11 5 28" xfId="3967"/>
    <cellStyle name="Normal 11 5 28 2" xfId="3968"/>
    <cellStyle name="Normal 11 5 29" xfId="3969"/>
    <cellStyle name="Normal 11 5 3" xfId="3970"/>
    <cellStyle name="Normal 11 5 3 2" xfId="3971"/>
    <cellStyle name="Normal 11 5 3 2 2" xfId="3972"/>
    <cellStyle name="Normal 11 5 3 2 2 2" xfId="3973"/>
    <cellStyle name="Normal 11 5 3 2 2 2 2" xfId="3974"/>
    <cellStyle name="Normal 11 5 3 2 2 3" xfId="3975"/>
    <cellStyle name="Normal 11 5 3 2 2 3 2" xfId="3976"/>
    <cellStyle name="Normal 11 5 3 2 2 4" xfId="3977"/>
    <cellStyle name="Normal 11 5 3 2 3" xfId="3978"/>
    <cellStyle name="Normal 11 5 3 2 3 2" xfId="3979"/>
    <cellStyle name="Normal 11 5 3 2 3 2 2" xfId="3980"/>
    <cellStyle name="Normal 11 5 3 2 3 3" xfId="3981"/>
    <cellStyle name="Normal 11 5 3 2 3 3 2" xfId="3982"/>
    <cellStyle name="Normal 11 5 3 2 3 4" xfId="3983"/>
    <cellStyle name="Normal 11 5 3 2 4" xfId="3984"/>
    <cellStyle name="Normal 11 5 3 2 4 2" xfId="3985"/>
    <cellStyle name="Normal 11 5 3 2 5" xfId="3986"/>
    <cellStyle name="Normal 11 5 3 2 5 2" xfId="3987"/>
    <cellStyle name="Normal 11 5 3 2 6" xfId="3988"/>
    <cellStyle name="Normal 11 5 3 3" xfId="3989"/>
    <cellStyle name="Normal 11 5 3 3 2" xfId="3990"/>
    <cellStyle name="Normal 11 5 3 3 2 2" xfId="3991"/>
    <cellStyle name="Normal 11 5 3 3 3" xfId="3992"/>
    <cellStyle name="Normal 11 5 3 3 3 2" xfId="3993"/>
    <cellStyle name="Normal 11 5 3 3 4" xfId="3994"/>
    <cellStyle name="Normal 11 5 3 3 4 2" xfId="3995"/>
    <cellStyle name="Normal 11 5 3 3 5" xfId="3996"/>
    <cellStyle name="Normal 11 5 3 3 5 2" xfId="3997"/>
    <cellStyle name="Normal 11 5 3 3 6" xfId="3998"/>
    <cellStyle name="Normal 11 5 3 4" xfId="3999"/>
    <cellStyle name="Normal 11 5 3 4 2" xfId="4000"/>
    <cellStyle name="Normal 11 5 3 4 2 2" xfId="4001"/>
    <cellStyle name="Normal 11 5 3 4 3" xfId="4002"/>
    <cellStyle name="Normal 11 5 3 4 3 2" xfId="4003"/>
    <cellStyle name="Normal 11 5 3 4 4" xfId="4004"/>
    <cellStyle name="Normal 11 5 3 5" xfId="4005"/>
    <cellStyle name="Normal 11 5 3 5 2" xfId="4006"/>
    <cellStyle name="Normal 11 5 3 5 2 2" xfId="4007"/>
    <cellStyle name="Normal 11 5 3 5 3" xfId="4008"/>
    <cellStyle name="Normal 11 5 3 5 3 2" xfId="4009"/>
    <cellStyle name="Normal 11 5 3 5 4" xfId="4010"/>
    <cellStyle name="Normal 11 5 3 6" xfId="4011"/>
    <cellStyle name="Normal 11 5 3 6 2" xfId="4012"/>
    <cellStyle name="Normal 11 5 3 7" xfId="4013"/>
    <cellStyle name="Normal 11 5 3 7 2" xfId="4014"/>
    <cellStyle name="Normal 11 5 3 8" xfId="4015"/>
    <cellStyle name="Normal 11 5 4" xfId="4016"/>
    <cellStyle name="Normal 11 5 4 2" xfId="4017"/>
    <cellStyle name="Normal 11 5 4 2 2" xfId="4018"/>
    <cellStyle name="Normal 11 5 4 2 2 2" xfId="4019"/>
    <cellStyle name="Normal 11 5 4 2 3" xfId="4020"/>
    <cellStyle name="Normal 11 5 4 2 3 2" xfId="4021"/>
    <cellStyle name="Normal 11 5 4 2 4" xfId="4022"/>
    <cellStyle name="Normal 11 5 4 2 4 2" xfId="4023"/>
    <cellStyle name="Normal 11 5 4 2 5" xfId="4024"/>
    <cellStyle name="Normal 11 5 4 2 5 2" xfId="4025"/>
    <cellStyle name="Normal 11 5 4 2 6" xfId="4026"/>
    <cellStyle name="Normal 11 5 4 3" xfId="4027"/>
    <cellStyle name="Normal 11 5 4 3 2" xfId="4028"/>
    <cellStyle name="Normal 11 5 4 3 2 2" xfId="4029"/>
    <cellStyle name="Normal 11 5 4 3 3" xfId="4030"/>
    <cellStyle name="Normal 11 5 4 3 3 2" xfId="4031"/>
    <cellStyle name="Normal 11 5 4 3 4" xfId="4032"/>
    <cellStyle name="Normal 11 5 4 4" xfId="4033"/>
    <cellStyle name="Normal 11 5 4 4 2" xfId="4034"/>
    <cellStyle name="Normal 11 5 4 4 2 2" xfId="4035"/>
    <cellStyle name="Normal 11 5 4 4 3" xfId="4036"/>
    <cellStyle name="Normal 11 5 4 4 3 2" xfId="4037"/>
    <cellStyle name="Normal 11 5 4 4 4" xfId="4038"/>
    <cellStyle name="Normal 11 5 4 5" xfId="4039"/>
    <cellStyle name="Normal 11 5 4 5 2" xfId="4040"/>
    <cellStyle name="Normal 11 5 4 6" xfId="4041"/>
    <cellStyle name="Normal 11 5 4 6 2" xfId="4042"/>
    <cellStyle name="Normal 11 5 4 7" xfId="4043"/>
    <cellStyle name="Normal 11 5 5" xfId="4044"/>
    <cellStyle name="Normal 11 5 5 2" xfId="4045"/>
    <cellStyle name="Normal 11 5 5 2 2" xfId="4046"/>
    <cellStyle name="Normal 11 5 5 2 2 2" xfId="4047"/>
    <cellStyle name="Normal 11 5 5 2 3" xfId="4048"/>
    <cellStyle name="Normal 11 5 5 2 3 2" xfId="4049"/>
    <cellStyle name="Normal 11 5 5 2 4" xfId="4050"/>
    <cellStyle name="Normal 11 5 5 2 4 2" xfId="4051"/>
    <cellStyle name="Normal 11 5 5 2 5" xfId="4052"/>
    <cellStyle name="Normal 11 5 5 2 5 2" xfId="4053"/>
    <cellStyle name="Normal 11 5 5 2 6" xfId="4054"/>
    <cellStyle name="Normal 11 5 5 3" xfId="4055"/>
    <cellStyle name="Normal 11 5 5 3 2" xfId="4056"/>
    <cellStyle name="Normal 11 5 5 3 2 2" xfId="4057"/>
    <cellStyle name="Normal 11 5 5 3 3" xfId="4058"/>
    <cellStyle name="Normal 11 5 5 3 3 2" xfId="4059"/>
    <cellStyle name="Normal 11 5 5 3 4" xfId="4060"/>
    <cellStyle name="Normal 11 5 5 4" xfId="4061"/>
    <cellStyle name="Normal 11 5 5 4 2" xfId="4062"/>
    <cellStyle name="Normal 11 5 5 4 2 2" xfId="4063"/>
    <cellStyle name="Normal 11 5 5 4 3" xfId="4064"/>
    <cellStyle name="Normal 11 5 5 4 3 2" xfId="4065"/>
    <cellStyle name="Normal 11 5 5 4 4" xfId="4066"/>
    <cellStyle name="Normal 11 5 5 5" xfId="4067"/>
    <cellStyle name="Normal 11 5 5 5 2" xfId="4068"/>
    <cellStyle name="Normal 11 5 5 6" xfId="4069"/>
    <cellStyle name="Normal 11 5 5 6 2" xfId="4070"/>
    <cellStyle name="Normal 11 5 5 7" xfId="4071"/>
    <cellStyle name="Normal 11 5 6" xfId="4072"/>
    <cellStyle name="Normal 11 5 6 2" xfId="4073"/>
    <cellStyle name="Normal 11 5 6 2 2" xfId="4074"/>
    <cellStyle name="Normal 11 5 6 2 2 2" xfId="4075"/>
    <cellStyle name="Normal 11 5 6 2 3" xfId="4076"/>
    <cellStyle name="Normal 11 5 6 2 3 2" xfId="4077"/>
    <cellStyle name="Normal 11 5 6 2 4" xfId="4078"/>
    <cellStyle name="Normal 11 5 6 2 4 2" xfId="4079"/>
    <cellStyle name="Normal 11 5 6 2 5" xfId="4080"/>
    <cellStyle name="Normal 11 5 6 2 5 2" xfId="4081"/>
    <cellStyle name="Normal 11 5 6 2 6" xfId="4082"/>
    <cellStyle name="Normal 11 5 6 3" xfId="4083"/>
    <cellStyle name="Normal 11 5 6 3 2" xfId="4084"/>
    <cellStyle name="Normal 11 5 6 3 2 2" xfId="4085"/>
    <cellStyle name="Normal 11 5 6 3 3" xfId="4086"/>
    <cellStyle name="Normal 11 5 6 3 3 2" xfId="4087"/>
    <cellStyle name="Normal 11 5 6 3 4" xfId="4088"/>
    <cellStyle name="Normal 11 5 6 4" xfId="4089"/>
    <cellStyle name="Normal 11 5 6 4 2" xfId="4090"/>
    <cellStyle name="Normal 11 5 6 4 2 2" xfId="4091"/>
    <cellStyle name="Normal 11 5 6 4 3" xfId="4092"/>
    <cellStyle name="Normal 11 5 6 4 3 2" xfId="4093"/>
    <cellStyle name="Normal 11 5 6 4 4" xfId="4094"/>
    <cellStyle name="Normal 11 5 6 5" xfId="4095"/>
    <cellStyle name="Normal 11 5 6 5 2" xfId="4096"/>
    <cellStyle name="Normal 11 5 6 5 2 2" xfId="4097"/>
    <cellStyle name="Normal 11 5 6 5 3" xfId="4098"/>
    <cellStyle name="Normal 11 5 6 6" xfId="4099"/>
    <cellStyle name="Normal 11 5 6 6 2" xfId="4100"/>
    <cellStyle name="Normal 11 5 6 7" xfId="4101"/>
    <cellStyle name="Normal 11 5 6 7 2" xfId="4102"/>
    <cellStyle name="Normal 11 5 6 8" xfId="4103"/>
    <cellStyle name="Normal 11 5 7" xfId="4104"/>
    <cellStyle name="Normal 11 5 7 2" xfId="4105"/>
    <cellStyle name="Normal 11 5 7 2 2" xfId="4106"/>
    <cellStyle name="Normal 11 5 7 2 2 2" xfId="4107"/>
    <cellStyle name="Normal 11 5 7 2 3" xfId="4108"/>
    <cellStyle name="Normal 11 5 7 2 3 2" xfId="4109"/>
    <cellStyle name="Normal 11 5 7 2 4" xfId="4110"/>
    <cellStyle name="Normal 11 5 7 3" xfId="4111"/>
    <cellStyle name="Normal 11 5 7 3 2" xfId="4112"/>
    <cellStyle name="Normal 11 5 7 3 2 2" xfId="4113"/>
    <cellStyle name="Normal 11 5 7 3 3" xfId="4114"/>
    <cellStyle name="Normal 11 5 7 3 3 2" xfId="4115"/>
    <cellStyle name="Normal 11 5 7 3 4" xfId="4116"/>
    <cellStyle name="Normal 11 5 7 4" xfId="4117"/>
    <cellStyle name="Normal 11 5 7 4 2" xfId="4118"/>
    <cellStyle name="Normal 11 5 7 4 2 2" xfId="4119"/>
    <cellStyle name="Normal 11 5 7 4 3" xfId="4120"/>
    <cellStyle name="Normal 11 5 7 5" xfId="4121"/>
    <cellStyle name="Normal 11 5 7 5 2" xfId="4122"/>
    <cellStyle name="Normal 11 5 7 6" xfId="4123"/>
    <cellStyle name="Normal 11 5 7 6 2" xfId="4124"/>
    <cellStyle name="Normal 11 5 7 7" xfId="4125"/>
    <cellStyle name="Normal 11 5 8" xfId="4126"/>
    <cellStyle name="Normal 11 5 8 2" xfId="4127"/>
    <cellStyle name="Normal 11 5 8 2 2" xfId="4128"/>
    <cellStyle name="Normal 11 5 8 3" xfId="4129"/>
    <cellStyle name="Normal 11 5 8 3 2" xfId="4130"/>
    <cellStyle name="Normal 11 5 8 4" xfId="4131"/>
    <cellStyle name="Normal 11 5 8 4 2" xfId="4132"/>
    <cellStyle name="Normal 11 5 8 5" xfId="4133"/>
    <cellStyle name="Normal 11 5 8 5 2" xfId="4134"/>
    <cellStyle name="Normal 11 5 8 6" xfId="4135"/>
    <cellStyle name="Normal 11 5 9" xfId="4136"/>
    <cellStyle name="Normal 11 5 9 2" xfId="4137"/>
    <cellStyle name="Normal 11 5 9 2 2" xfId="4138"/>
    <cellStyle name="Normal 11 5 9 3" xfId="4139"/>
    <cellStyle name="Normal 11 5 9 3 2" xfId="4140"/>
    <cellStyle name="Normal 11 5 9 4" xfId="4141"/>
    <cellStyle name="Normal 11 5_10070" xfId="4142"/>
    <cellStyle name="Normal 11 6" xfId="4143"/>
    <cellStyle name="Normal 11 6 2" xfId="4144"/>
    <cellStyle name="Normal 11 6 2 2" xfId="4145"/>
    <cellStyle name="Normal 11 6 2 2 2" xfId="4146"/>
    <cellStyle name="Normal 11 6 2 2 2 2" xfId="4147"/>
    <cellStyle name="Normal 11 6 2 2 3" xfId="4148"/>
    <cellStyle name="Normal 11 6 2 3" xfId="4149"/>
    <cellStyle name="Normal 11 6 2 3 2" xfId="4150"/>
    <cellStyle name="Normal 11 6 2 3 2 2" xfId="4151"/>
    <cellStyle name="Normal 11 6 2 3 3" xfId="4152"/>
    <cellStyle name="Normal 11 6 2 4" xfId="4153"/>
    <cellStyle name="Normal 11 6 2 4 2" xfId="4154"/>
    <cellStyle name="Normal 11 6 2 5" xfId="4155"/>
    <cellStyle name="Normal 11 6 3" xfId="4156"/>
    <cellStyle name="Normal 11 6 3 2" xfId="4157"/>
    <cellStyle name="Normal 11 6 3 2 2" xfId="4158"/>
    <cellStyle name="Normal 11 6 3 3" xfId="4159"/>
    <cellStyle name="Normal 11 6 3 3 2" xfId="4160"/>
    <cellStyle name="Normal 11 6 3 4" xfId="4161"/>
    <cellStyle name="Normal 11 6 4" xfId="4162"/>
    <cellStyle name="Normal 11 6 4 2" xfId="4163"/>
    <cellStyle name="Normal 11 6 4 2 2" xfId="4164"/>
    <cellStyle name="Normal 11 6 4 3" xfId="4165"/>
    <cellStyle name="Normal 11 6 5" xfId="4166"/>
    <cellStyle name="Normal 11 6 5 2" xfId="4167"/>
    <cellStyle name="Normal 11 6 6" xfId="4168"/>
    <cellStyle name="Normal 11 7" xfId="4169"/>
    <cellStyle name="Normal 11 7 2" xfId="4170"/>
    <cellStyle name="Normal 11 7 2 2" xfId="4171"/>
    <cellStyle name="Normal 11 7 2 2 2" xfId="4172"/>
    <cellStyle name="Normal 11 7 2 3" xfId="4173"/>
    <cellStyle name="Normal 11 7 3" xfId="4174"/>
    <cellStyle name="Normal 11 7 3 2" xfId="4175"/>
    <cellStyle name="Normal 11 7 3 2 2" xfId="4176"/>
    <cellStyle name="Normal 11 7 3 3" xfId="4177"/>
    <cellStyle name="Normal 11 7 4" xfId="4178"/>
    <cellStyle name="Normal 11 7 4 2" xfId="4179"/>
    <cellStyle name="Normal 11 7 5" xfId="4180"/>
    <cellStyle name="Normal 11 7 5 2" xfId="4181"/>
    <cellStyle name="Normal 11 7 6" xfId="4182"/>
    <cellStyle name="Normal 11 8" xfId="4183"/>
    <cellStyle name="Normal 11 8 2" xfId="4184"/>
    <cellStyle name="Normal 11 8 2 2" xfId="4185"/>
    <cellStyle name="Normal 11 8 3" xfId="4186"/>
    <cellStyle name="Normal 11 8 3 2" xfId="4187"/>
    <cellStyle name="Normal 11 8 4" xfId="4188"/>
    <cellStyle name="Normal 11 9" xfId="4189"/>
    <cellStyle name="Normal 11 9 2" xfId="4190"/>
    <cellStyle name="Normal 11 9 2 2" xfId="4191"/>
    <cellStyle name="Normal 11 9 3" xfId="4192"/>
    <cellStyle name="Normal 11_2180" xfId="4193"/>
    <cellStyle name="Normal 110" xfId="4194"/>
    <cellStyle name="Normal 110 2" xfId="4195"/>
    <cellStyle name="Normal 110 2 2" xfId="4196"/>
    <cellStyle name="Normal 111" xfId="4197"/>
    <cellStyle name="Normal 111 2" xfId="4198"/>
    <cellStyle name="Normal 111 2 2" xfId="4199"/>
    <cellStyle name="Normal 111 3" xfId="4200"/>
    <cellStyle name="Normal 111 4" xfId="4201"/>
    <cellStyle name="Normal 112" xfId="4202"/>
    <cellStyle name="Normal 112 2" xfId="4203"/>
    <cellStyle name="Normal 112 2 2" xfId="4204"/>
    <cellStyle name="Normal 112 3" xfId="4205"/>
    <cellStyle name="Normal 112 4" xfId="4206"/>
    <cellStyle name="Normal 113" xfId="4207"/>
    <cellStyle name="Normal 113 2" xfId="4208"/>
    <cellStyle name="Normal 113 3" xfId="4209"/>
    <cellStyle name="Normal 113 3 2" xfId="4210"/>
    <cellStyle name="Normal 113 4" xfId="4211"/>
    <cellStyle name="Normal 113 5" xfId="4212"/>
    <cellStyle name="Normal 114" xfId="4213"/>
    <cellStyle name="Normal 114 2" xfId="4214"/>
    <cellStyle name="Normal 114 2 2" xfId="4215"/>
    <cellStyle name="Normal 114 3" xfId="4216"/>
    <cellStyle name="Normal 115" xfId="4217"/>
    <cellStyle name="Normal 115 2" xfId="4218"/>
    <cellStyle name="Normal 116" xfId="4219"/>
    <cellStyle name="Normal 116 2" xfId="4220"/>
    <cellStyle name="Normal 117" xfId="4221"/>
    <cellStyle name="Normal 117 2" xfId="4222"/>
    <cellStyle name="Normal 117 3" xfId="4223"/>
    <cellStyle name="Normal 118" xfId="4224"/>
    <cellStyle name="Normal 118 2" xfId="4225"/>
    <cellStyle name="Normal 118 3" xfId="4226"/>
    <cellStyle name="Normal 119" xfId="4227"/>
    <cellStyle name="Normal 119 2" xfId="4228"/>
    <cellStyle name="Normal 12" xfId="4229"/>
    <cellStyle name="Normal 12 10" xfId="4230"/>
    <cellStyle name="Normal 12 10 2" xfId="4231"/>
    <cellStyle name="Normal 12 11" xfId="4232"/>
    <cellStyle name="Normal 12 2" xfId="4233"/>
    <cellStyle name="Normal 12 2 2" xfId="4234"/>
    <cellStyle name="Normal 12 2 2 2" xfId="4235"/>
    <cellStyle name="Normal 12 2 2 2 2" xfId="4236"/>
    <cellStyle name="Normal 12 2 2 2 2 2" xfId="4237"/>
    <cellStyle name="Normal 12 2 2 2 2 2 2" xfId="4238"/>
    <cellStyle name="Normal 12 2 2 2 2 2 2 2" xfId="4239"/>
    <cellStyle name="Normal 12 2 2 2 2 2 2 2 2" xfId="4240"/>
    <cellStyle name="Normal 12 2 2 2 2 2 2 3" xfId="4241"/>
    <cellStyle name="Normal 12 2 2 2 2 2 3" xfId="4242"/>
    <cellStyle name="Normal 12 2 2 2 2 2 3 2" xfId="4243"/>
    <cellStyle name="Normal 12 2 2 2 2 2 3 2 2" xfId="4244"/>
    <cellStyle name="Normal 12 2 2 2 2 2 3 3" xfId="4245"/>
    <cellStyle name="Normal 12 2 2 2 2 2 4" xfId="4246"/>
    <cellStyle name="Normal 12 2 2 2 2 2 4 2" xfId="4247"/>
    <cellStyle name="Normal 12 2 2 2 2 2 5" xfId="4248"/>
    <cellStyle name="Normal 12 2 2 2 2 3" xfId="4249"/>
    <cellStyle name="Normal 12 2 2 2 2 3 2" xfId="4250"/>
    <cellStyle name="Normal 12 2 2 2 2 3 2 2" xfId="4251"/>
    <cellStyle name="Normal 12 2 2 2 2 3 3" xfId="4252"/>
    <cellStyle name="Normal 12 2 2 2 2 4" xfId="4253"/>
    <cellStyle name="Normal 12 2 2 2 2 4 2" xfId="4254"/>
    <cellStyle name="Normal 12 2 2 2 2 4 2 2" xfId="4255"/>
    <cellStyle name="Normal 12 2 2 2 2 4 3" xfId="4256"/>
    <cellStyle name="Normal 12 2 2 2 2 5" xfId="4257"/>
    <cellStyle name="Normal 12 2 2 2 2 5 2" xfId="4258"/>
    <cellStyle name="Normal 12 2 2 2 2 6" xfId="4259"/>
    <cellStyle name="Normal 12 2 2 2 3" xfId="4260"/>
    <cellStyle name="Normal 12 2 2 2 3 2" xfId="4261"/>
    <cellStyle name="Normal 12 2 2 2 3 2 2" xfId="4262"/>
    <cellStyle name="Normal 12 2 2 2 3 2 2 2" xfId="4263"/>
    <cellStyle name="Normal 12 2 2 2 3 2 3" xfId="4264"/>
    <cellStyle name="Normal 12 2 2 2 3 3" xfId="4265"/>
    <cellStyle name="Normal 12 2 2 2 3 3 2" xfId="4266"/>
    <cellStyle name="Normal 12 2 2 2 3 3 2 2" xfId="4267"/>
    <cellStyle name="Normal 12 2 2 2 3 3 3" xfId="4268"/>
    <cellStyle name="Normal 12 2 2 2 3 4" xfId="4269"/>
    <cellStyle name="Normal 12 2 2 2 3 4 2" xfId="4270"/>
    <cellStyle name="Normal 12 2 2 2 3 5" xfId="4271"/>
    <cellStyle name="Normal 12 2 2 2 4" xfId="4272"/>
    <cellStyle name="Normal 12 2 2 2 4 2" xfId="4273"/>
    <cellStyle name="Normal 12 2 2 2 4 2 2" xfId="4274"/>
    <cellStyle name="Normal 12 2 2 2 4 3" xfId="4275"/>
    <cellStyle name="Normal 12 2 2 2 5" xfId="4276"/>
    <cellStyle name="Normal 12 2 2 2 5 2" xfId="4277"/>
    <cellStyle name="Normal 12 2 2 2 5 2 2" xfId="4278"/>
    <cellStyle name="Normal 12 2 2 2 5 3" xfId="4279"/>
    <cellStyle name="Normal 12 2 2 2 6" xfId="4280"/>
    <cellStyle name="Normal 12 2 2 2 6 2" xfId="4281"/>
    <cellStyle name="Normal 12 2 2 3" xfId="4282"/>
    <cellStyle name="Normal 12 2 2 3 2" xfId="4283"/>
    <cellStyle name="Normal 12 2 2 3 2 2" xfId="4284"/>
    <cellStyle name="Normal 12 2 2 3 2 2 2" xfId="4285"/>
    <cellStyle name="Normal 12 2 2 3 2 2 2 2" xfId="4286"/>
    <cellStyle name="Normal 12 2 2 3 2 2 3" xfId="4287"/>
    <cellStyle name="Normal 12 2 2 3 2 3" xfId="4288"/>
    <cellStyle name="Normal 12 2 2 3 2 3 2" xfId="4289"/>
    <cellStyle name="Normal 12 2 2 3 2 3 2 2" xfId="4290"/>
    <cellStyle name="Normal 12 2 2 3 2 3 3" xfId="4291"/>
    <cellStyle name="Normal 12 2 2 3 2 4" xfId="4292"/>
    <cellStyle name="Normal 12 2 2 3 2 4 2" xfId="4293"/>
    <cellStyle name="Normal 12 2 2 3 2 5" xfId="4294"/>
    <cellStyle name="Normal 12 2 2 3 3" xfId="4295"/>
    <cellStyle name="Normal 12 2 2 3 3 2" xfId="4296"/>
    <cellStyle name="Normal 12 2 2 3 3 2 2" xfId="4297"/>
    <cellStyle name="Normal 12 2 2 3 3 3" xfId="4298"/>
    <cellStyle name="Normal 12 2 2 3 4" xfId="4299"/>
    <cellStyle name="Normal 12 2 2 3 4 2" xfId="4300"/>
    <cellStyle name="Normal 12 2 2 3 4 2 2" xfId="4301"/>
    <cellStyle name="Normal 12 2 2 3 4 3" xfId="4302"/>
    <cellStyle name="Normal 12 2 2 3 5" xfId="4303"/>
    <cellStyle name="Normal 12 2 2 3 5 2" xfId="4304"/>
    <cellStyle name="Normal 12 2 2 3 6" xfId="4305"/>
    <cellStyle name="Normal 12 2 2 4" xfId="4306"/>
    <cellStyle name="Normal 12 2 2 4 2" xfId="4307"/>
    <cellStyle name="Normal 12 2 2 4 2 2" xfId="4308"/>
    <cellStyle name="Normal 12 2 2 4 2 2 2" xfId="4309"/>
    <cellStyle name="Normal 12 2 2 4 2 3" xfId="4310"/>
    <cellStyle name="Normal 12 2 2 4 3" xfId="4311"/>
    <cellStyle name="Normal 12 2 2 4 3 2" xfId="4312"/>
    <cellStyle name="Normal 12 2 2 4 3 2 2" xfId="4313"/>
    <cellStyle name="Normal 12 2 2 4 3 3" xfId="4314"/>
    <cellStyle name="Normal 12 2 2 4 4" xfId="4315"/>
    <cellStyle name="Normal 12 2 2 4 4 2" xfId="4316"/>
    <cellStyle name="Normal 12 2 2 4 5" xfId="4317"/>
    <cellStyle name="Normal 12 2 2 5" xfId="4318"/>
    <cellStyle name="Normal 12 2 2 5 2" xfId="4319"/>
    <cellStyle name="Normal 12 2 2 5 2 2" xfId="4320"/>
    <cellStyle name="Normal 12 2 2 5 3" xfId="4321"/>
    <cellStyle name="Normal 12 2 2 6" xfId="4322"/>
    <cellStyle name="Normal 12 2 2 6 2" xfId="4323"/>
    <cellStyle name="Normal 12 2 2 6 2 2" xfId="4324"/>
    <cellStyle name="Normal 12 2 2 6 3" xfId="4325"/>
    <cellStyle name="Normal 12 2 2 7" xfId="4326"/>
    <cellStyle name="Normal 12 2 2 7 2" xfId="4327"/>
    <cellStyle name="Normal 12 2 2 8" xfId="4328"/>
    <cellStyle name="Normal 12 2 3" xfId="4329"/>
    <cellStyle name="Normal 12 2 3 2" xfId="4330"/>
    <cellStyle name="Normal 12 2 3 2 2" xfId="4331"/>
    <cellStyle name="Normal 12 2 3 2 2 2" xfId="4332"/>
    <cellStyle name="Normal 12 2 3 2 2 2 2" xfId="4333"/>
    <cellStyle name="Normal 12 2 3 2 2 2 2 2" xfId="4334"/>
    <cellStyle name="Normal 12 2 3 2 2 2 3" xfId="4335"/>
    <cellStyle name="Normal 12 2 3 2 2 3" xfId="4336"/>
    <cellStyle name="Normal 12 2 3 2 2 3 2" xfId="4337"/>
    <cellStyle name="Normal 12 2 3 2 2 3 2 2" xfId="4338"/>
    <cellStyle name="Normal 12 2 3 2 2 3 3" xfId="4339"/>
    <cellStyle name="Normal 12 2 3 2 2 4" xfId="4340"/>
    <cellStyle name="Normal 12 2 3 2 2 4 2" xfId="4341"/>
    <cellStyle name="Normal 12 2 3 2 2 5" xfId="4342"/>
    <cellStyle name="Normal 12 2 3 2 3" xfId="4343"/>
    <cellStyle name="Normal 12 2 3 2 3 2" xfId="4344"/>
    <cellStyle name="Normal 12 2 3 2 3 2 2" xfId="4345"/>
    <cellStyle name="Normal 12 2 3 2 3 3" xfId="4346"/>
    <cellStyle name="Normal 12 2 3 2 4" xfId="4347"/>
    <cellStyle name="Normal 12 2 3 2 4 2" xfId="4348"/>
    <cellStyle name="Normal 12 2 3 2 4 2 2" xfId="4349"/>
    <cellStyle name="Normal 12 2 3 2 4 3" xfId="4350"/>
    <cellStyle name="Normal 12 2 3 2 5" xfId="4351"/>
    <cellStyle name="Normal 12 2 3 2 5 2" xfId="4352"/>
    <cellStyle name="Normal 12 2 3 2 6" xfId="4353"/>
    <cellStyle name="Normal 12 2 3 3" xfId="4354"/>
    <cellStyle name="Normal 12 2 3 3 2" xfId="4355"/>
    <cellStyle name="Normal 12 2 3 3 2 2" xfId="4356"/>
    <cellStyle name="Normal 12 2 3 3 2 2 2" xfId="4357"/>
    <cellStyle name="Normal 12 2 3 3 2 3" xfId="4358"/>
    <cellStyle name="Normal 12 2 3 3 3" xfId="4359"/>
    <cellStyle name="Normal 12 2 3 3 3 2" xfId="4360"/>
    <cellStyle name="Normal 12 2 3 3 3 2 2" xfId="4361"/>
    <cellStyle name="Normal 12 2 3 3 3 3" xfId="4362"/>
    <cellStyle name="Normal 12 2 3 3 4" xfId="4363"/>
    <cellStyle name="Normal 12 2 3 3 4 2" xfId="4364"/>
    <cellStyle name="Normal 12 2 3 3 5" xfId="4365"/>
    <cellStyle name="Normal 12 2 3 4" xfId="4366"/>
    <cellStyle name="Normal 12 2 3 4 2" xfId="4367"/>
    <cellStyle name="Normal 12 2 3 4 2 2" xfId="4368"/>
    <cellStyle name="Normal 12 2 3 4 3" xfId="4369"/>
    <cellStyle name="Normal 12 2 3 5" xfId="4370"/>
    <cellStyle name="Normal 12 2 3 5 2" xfId="4371"/>
    <cellStyle name="Normal 12 2 3 5 2 2" xfId="4372"/>
    <cellStyle name="Normal 12 2 3 5 3" xfId="4373"/>
    <cellStyle name="Normal 12 2 3 6" xfId="4374"/>
    <cellStyle name="Normal 12 2 3 6 2" xfId="4375"/>
    <cellStyle name="Normal 12 2 3 7" xfId="4376"/>
    <cellStyle name="Normal 12 2 4" xfId="4377"/>
    <cellStyle name="Normal 12 2 4 2" xfId="4378"/>
    <cellStyle name="Normal 12 2 4 2 2" xfId="4379"/>
    <cellStyle name="Normal 12 2 4 2 2 2" xfId="4380"/>
    <cellStyle name="Normal 12 2 4 2 2 2 2" xfId="4381"/>
    <cellStyle name="Normal 12 2 4 2 2 3" xfId="4382"/>
    <cellStyle name="Normal 12 2 4 2 3" xfId="4383"/>
    <cellStyle name="Normal 12 2 4 2 3 2" xfId="4384"/>
    <cellStyle name="Normal 12 2 4 2 3 2 2" xfId="4385"/>
    <cellStyle name="Normal 12 2 4 2 3 3" xfId="4386"/>
    <cellStyle name="Normal 12 2 4 2 4" xfId="4387"/>
    <cellStyle name="Normal 12 2 4 2 4 2" xfId="4388"/>
    <cellStyle name="Normal 12 2 4 2 5" xfId="4389"/>
    <cellStyle name="Normal 12 2 4 3" xfId="4390"/>
    <cellStyle name="Normal 12 2 4 3 2" xfId="4391"/>
    <cellStyle name="Normal 12 2 4 3 2 2" xfId="4392"/>
    <cellStyle name="Normal 12 2 4 3 3" xfId="4393"/>
    <cellStyle name="Normal 12 2 4 4" xfId="4394"/>
    <cellStyle name="Normal 12 2 4 4 2" xfId="4395"/>
    <cellStyle name="Normal 12 2 4 4 2 2" xfId="4396"/>
    <cellStyle name="Normal 12 2 4 4 3" xfId="4397"/>
    <cellStyle name="Normal 12 2 4 5" xfId="4398"/>
    <cellStyle name="Normal 12 2 4 5 2" xfId="4399"/>
    <cellStyle name="Normal 12 2 4 6" xfId="4400"/>
    <cellStyle name="Normal 12 2 5" xfId="4401"/>
    <cellStyle name="Normal 12 2 5 2" xfId="4402"/>
    <cellStyle name="Normal 12 2 5 2 2" xfId="4403"/>
    <cellStyle name="Normal 12 2 5 2 2 2" xfId="4404"/>
    <cellStyle name="Normal 12 2 5 2 3" xfId="4405"/>
    <cellStyle name="Normal 12 2 5 3" xfId="4406"/>
    <cellStyle name="Normal 12 2 5 3 2" xfId="4407"/>
    <cellStyle name="Normal 12 2 5 3 2 2" xfId="4408"/>
    <cellStyle name="Normal 12 2 5 3 3" xfId="4409"/>
    <cellStyle name="Normal 12 2 5 4" xfId="4410"/>
    <cellStyle name="Normal 12 2 5 4 2" xfId="4411"/>
    <cellStyle name="Normal 12 2 5 5" xfId="4412"/>
    <cellStyle name="Normal 12 2 6" xfId="4413"/>
    <cellStyle name="Normal 12 2 6 2" xfId="4414"/>
    <cellStyle name="Normal 12 2 6 2 2" xfId="4415"/>
    <cellStyle name="Normal 12 2 6 3" xfId="4416"/>
    <cellStyle name="Normal 12 2 7" xfId="4417"/>
    <cellStyle name="Normal 12 2 7 2" xfId="4418"/>
    <cellStyle name="Normal 12 2 7 2 2" xfId="4419"/>
    <cellStyle name="Normal 12 2 7 3" xfId="4420"/>
    <cellStyle name="Normal 12 2 8" xfId="4421"/>
    <cellStyle name="Normal 12 2 8 2" xfId="4422"/>
    <cellStyle name="Normal 12 3" xfId="4423"/>
    <cellStyle name="Normal 12 3 2" xfId="4424"/>
    <cellStyle name="Normal 12 3 2 2" xfId="4425"/>
    <cellStyle name="Normal 12 3 2 2 2" xfId="4426"/>
    <cellStyle name="Normal 12 3 2 2 2 2" xfId="4427"/>
    <cellStyle name="Normal 12 3 2 2 2 2 2" xfId="4428"/>
    <cellStyle name="Normal 12 3 2 2 2 2 2 2" xfId="4429"/>
    <cellStyle name="Normal 12 3 2 2 2 2 3" xfId="4430"/>
    <cellStyle name="Normal 12 3 2 2 2 3" xfId="4431"/>
    <cellStyle name="Normal 12 3 2 2 2 3 2" xfId="4432"/>
    <cellStyle name="Normal 12 3 2 2 2 3 2 2" xfId="4433"/>
    <cellStyle name="Normal 12 3 2 2 2 3 3" xfId="4434"/>
    <cellStyle name="Normal 12 3 2 2 2 4" xfId="4435"/>
    <cellStyle name="Normal 12 3 2 2 2 4 2" xfId="4436"/>
    <cellStyle name="Normal 12 3 2 2 2 5" xfId="4437"/>
    <cellStyle name="Normal 12 3 2 2 3" xfId="4438"/>
    <cellStyle name="Normal 12 3 2 2 3 2" xfId="4439"/>
    <cellStyle name="Normal 12 3 2 2 3 2 2" xfId="4440"/>
    <cellStyle name="Normal 12 3 2 2 3 3" xfId="4441"/>
    <cellStyle name="Normal 12 3 2 2 4" xfId="4442"/>
    <cellStyle name="Normal 12 3 2 2 4 2" xfId="4443"/>
    <cellStyle name="Normal 12 3 2 2 4 2 2" xfId="4444"/>
    <cellStyle name="Normal 12 3 2 2 4 3" xfId="4445"/>
    <cellStyle name="Normal 12 3 2 2 5" xfId="4446"/>
    <cellStyle name="Normal 12 3 2 2 5 2" xfId="4447"/>
    <cellStyle name="Normal 12 3 2 3" xfId="4448"/>
    <cellStyle name="Normal 12 3 2 3 2" xfId="4449"/>
    <cellStyle name="Normal 12 3 2 3 2 2" xfId="4450"/>
    <cellStyle name="Normal 12 3 2 3 2 2 2" xfId="4451"/>
    <cellStyle name="Normal 12 3 2 3 2 3" xfId="4452"/>
    <cellStyle name="Normal 12 3 2 3 3" xfId="4453"/>
    <cellStyle name="Normal 12 3 2 3 3 2" xfId="4454"/>
    <cellStyle name="Normal 12 3 2 3 3 2 2" xfId="4455"/>
    <cellStyle name="Normal 12 3 2 3 3 3" xfId="4456"/>
    <cellStyle name="Normal 12 3 2 3 4" xfId="4457"/>
    <cellStyle name="Normal 12 3 2 3 4 2" xfId="4458"/>
    <cellStyle name="Normal 12 3 2 3 5" xfId="4459"/>
    <cellStyle name="Normal 12 3 2 4" xfId="4460"/>
    <cellStyle name="Normal 12 3 2 4 2" xfId="4461"/>
    <cellStyle name="Normal 12 3 2 4 2 2" xfId="4462"/>
    <cellStyle name="Normal 12 3 2 4 3" xfId="4463"/>
    <cellStyle name="Normal 12 3 2 5" xfId="4464"/>
    <cellStyle name="Normal 12 3 2 5 2" xfId="4465"/>
    <cellStyle name="Normal 12 3 2 5 2 2" xfId="4466"/>
    <cellStyle name="Normal 12 3 2 5 3" xfId="4467"/>
    <cellStyle name="Normal 12 3 2 6" xfId="4468"/>
    <cellStyle name="Normal 12 3 2 6 2" xfId="4469"/>
    <cellStyle name="Normal 12 3 2 7" xfId="4470"/>
    <cellStyle name="Normal 12 3 3" xfId="4471"/>
    <cellStyle name="Normal 12 3 3 2" xfId="4472"/>
    <cellStyle name="Normal 12 3 3 2 2" xfId="4473"/>
    <cellStyle name="Normal 12 3 3 2 2 2" xfId="4474"/>
    <cellStyle name="Normal 12 3 3 2 2 2 2" xfId="4475"/>
    <cellStyle name="Normal 12 3 3 2 2 3" xfId="4476"/>
    <cellStyle name="Normal 12 3 3 2 3" xfId="4477"/>
    <cellStyle name="Normal 12 3 3 2 3 2" xfId="4478"/>
    <cellStyle name="Normal 12 3 3 2 3 2 2" xfId="4479"/>
    <cellStyle name="Normal 12 3 3 2 3 3" xfId="4480"/>
    <cellStyle name="Normal 12 3 3 2 4" xfId="4481"/>
    <cellStyle name="Normal 12 3 3 2 4 2" xfId="4482"/>
    <cellStyle name="Normal 12 3 3 2 5" xfId="4483"/>
    <cellStyle name="Normal 12 3 3 3" xfId="4484"/>
    <cellStyle name="Normal 12 3 3 3 2" xfId="4485"/>
    <cellStyle name="Normal 12 3 3 3 2 2" xfId="4486"/>
    <cellStyle name="Normal 12 3 3 3 3" xfId="4487"/>
    <cellStyle name="Normal 12 3 3 4" xfId="4488"/>
    <cellStyle name="Normal 12 3 3 4 2" xfId="4489"/>
    <cellStyle name="Normal 12 3 3 4 2 2" xfId="4490"/>
    <cellStyle name="Normal 12 3 3 4 3" xfId="4491"/>
    <cellStyle name="Normal 12 3 3 5" xfId="4492"/>
    <cellStyle name="Normal 12 3 3 5 2" xfId="4493"/>
    <cellStyle name="Normal 12 3 3 6" xfId="4494"/>
    <cellStyle name="Normal 12 3 4" xfId="4495"/>
    <cellStyle name="Normal 12 3 4 2" xfId="4496"/>
    <cellStyle name="Normal 12 3 4 2 2" xfId="4497"/>
    <cellStyle name="Normal 12 3 4 2 2 2" xfId="4498"/>
    <cellStyle name="Normal 12 3 4 2 3" xfId="4499"/>
    <cellStyle name="Normal 12 3 4 3" xfId="4500"/>
    <cellStyle name="Normal 12 3 4 3 2" xfId="4501"/>
    <cellStyle name="Normal 12 3 4 3 2 2" xfId="4502"/>
    <cellStyle name="Normal 12 3 4 3 3" xfId="4503"/>
    <cellStyle name="Normal 12 3 4 4" xfId="4504"/>
    <cellStyle name="Normal 12 3 4 4 2" xfId="4505"/>
    <cellStyle name="Normal 12 3 4 5" xfId="4506"/>
    <cellStyle name="Normal 12 3 5" xfId="4507"/>
    <cellStyle name="Normal 12 3 5 2" xfId="4508"/>
    <cellStyle name="Normal 12 3 5 2 2" xfId="4509"/>
    <cellStyle name="Normal 12 3 5 3" xfId="4510"/>
    <cellStyle name="Normal 12 3 6" xfId="4511"/>
    <cellStyle name="Normal 12 3 6 2" xfId="4512"/>
    <cellStyle name="Normal 12 3 6 2 2" xfId="4513"/>
    <cellStyle name="Normal 12 3 6 3" xfId="4514"/>
    <cellStyle name="Normal 12 3 7" xfId="4515"/>
    <cellStyle name="Normal 12 3 7 2" xfId="4516"/>
    <cellStyle name="Normal 12 3 8" xfId="4517"/>
    <cellStyle name="Normal 12 3 9" xfId="4518"/>
    <cellStyle name="Normal 12 4" xfId="4519"/>
    <cellStyle name="Normal 12 4 2" xfId="4520"/>
    <cellStyle name="Normal 12 4 2 2" xfId="4521"/>
    <cellStyle name="Normal 12 4 2 2 2" xfId="4522"/>
    <cellStyle name="Normal 12 4 2 2 2 2" xfId="4523"/>
    <cellStyle name="Normal 12 4 2 2 2 2 2" xfId="4524"/>
    <cellStyle name="Normal 12 4 2 2 2 2 2 2" xfId="4525"/>
    <cellStyle name="Normal 12 4 2 2 2 2 3" xfId="4526"/>
    <cellStyle name="Normal 12 4 2 2 2 3" xfId="4527"/>
    <cellStyle name="Normal 12 4 2 2 2 3 2" xfId="4528"/>
    <cellStyle name="Normal 12 4 2 2 2 3 2 2" xfId="4529"/>
    <cellStyle name="Normal 12 4 2 2 2 3 3" xfId="4530"/>
    <cellStyle name="Normal 12 4 2 2 2 4" xfId="4531"/>
    <cellStyle name="Normal 12 4 2 2 2 4 2" xfId="4532"/>
    <cellStyle name="Normal 12 4 2 2 2 5" xfId="4533"/>
    <cellStyle name="Normal 12 4 2 2 3" xfId="4534"/>
    <cellStyle name="Normal 12 4 2 2 3 2" xfId="4535"/>
    <cellStyle name="Normal 12 4 2 2 3 2 2" xfId="4536"/>
    <cellStyle name="Normal 12 4 2 2 3 3" xfId="4537"/>
    <cellStyle name="Normal 12 4 2 2 4" xfId="4538"/>
    <cellStyle name="Normal 12 4 2 2 4 2" xfId="4539"/>
    <cellStyle name="Normal 12 4 2 2 4 2 2" xfId="4540"/>
    <cellStyle name="Normal 12 4 2 2 4 3" xfId="4541"/>
    <cellStyle name="Normal 12 4 2 2 5" xfId="4542"/>
    <cellStyle name="Normal 12 4 2 2 5 2" xfId="4543"/>
    <cellStyle name="Normal 12 4 2 2 6" xfId="4544"/>
    <cellStyle name="Normal 12 4 2 3" xfId="4545"/>
    <cellStyle name="Normal 12 4 2 3 2" xfId="4546"/>
    <cellStyle name="Normal 12 4 2 3 2 2" xfId="4547"/>
    <cellStyle name="Normal 12 4 2 3 2 2 2" xfId="4548"/>
    <cellStyle name="Normal 12 4 2 3 2 3" xfId="4549"/>
    <cellStyle name="Normal 12 4 2 3 3" xfId="4550"/>
    <cellStyle name="Normal 12 4 2 3 3 2" xfId="4551"/>
    <cellStyle name="Normal 12 4 2 3 3 2 2" xfId="4552"/>
    <cellStyle name="Normal 12 4 2 3 3 3" xfId="4553"/>
    <cellStyle name="Normal 12 4 2 3 4" xfId="4554"/>
    <cellStyle name="Normal 12 4 2 3 4 2" xfId="4555"/>
    <cellStyle name="Normal 12 4 2 3 5" xfId="4556"/>
    <cellStyle name="Normal 12 4 2 4" xfId="4557"/>
    <cellStyle name="Normal 12 4 2 4 2" xfId="4558"/>
    <cellStyle name="Normal 12 4 2 4 2 2" xfId="4559"/>
    <cellStyle name="Normal 12 4 2 4 3" xfId="4560"/>
    <cellStyle name="Normal 12 4 2 5" xfId="4561"/>
    <cellStyle name="Normal 12 4 2 5 2" xfId="4562"/>
    <cellStyle name="Normal 12 4 2 5 2 2" xfId="4563"/>
    <cellStyle name="Normal 12 4 2 5 3" xfId="4564"/>
    <cellStyle name="Normal 12 4 2 6" xfId="4565"/>
    <cellStyle name="Normal 12 4 2 6 2" xfId="4566"/>
    <cellStyle name="Normal 12 4 2 7" xfId="4567"/>
    <cellStyle name="Normal 12 4 3" xfId="4568"/>
    <cellStyle name="Normal 12 4 3 2" xfId="4569"/>
    <cellStyle name="Normal 12 4 3 2 2" xfId="4570"/>
    <cellStyle name="Normal 12 4 3 2 2 2" xfId="4571"/>
    <cellStyle name="Normal 12 4 3 2 2 2 2" xfId="4572"/>
    <cellStyle name="Normal 12 4 3 2 2 3" xfId="4573"/>
    <cellStyle name="Normal 12 4 3 2 3" xfId="4574"/>
    <cellStyle name="Normal 12 4 3 2 3 2" xfId="4575"/>
    <cellStyle name="Normal 12 4 3 2 3 2 2" xfId="4576"/>
    <cellStyle name="Normal 12 4 3 2 3 3" xfId="4577"/>
    <cellStyle name="Normal 12 4 3 2 4" xfId="4578"/>
    <cellStyle name="Normal 12 4 3 2 4 2" xfId="4579"/>
    <cellStyle name="Normal 12 4 3 2 5" xfId="4580"/>
    <cellStyle name="Normal 12 4 3 3" xfId="4581"/>
    <cellStyle name="Normal 12 4 3 3 2" xfId="4582"/>
    <cellStyle name="Normal 12 4 3 3 2 2" xfId="4583"/>
    <cellStyle name="Normal 12 4 3 3 3" xfId="4584"/>
    <cellStyle name="Normal 12 4 3 4" xfId="4585"/>
    <cellStyle name="Normal 12 4 3 4 2" xfId="4586"/>
    <cellStyle name="Normal 12 4 3 4 2 2" xfId="4587"/>
    <cellStyle name="Normal 12 4 3 4 3" xfId="4588"/>
    <cellStyle name="Normal 12 4 3 5" xfId="4589"/>
    <cellStyle name="Normal 12 4 3 5 2" xfId="4590"/>
    <cellStyle name="Normal 12 4 3 6" xfId="4591"/>
    <cellStyle name="Normal 12 4 4" xfId="4592"/>
    <cellStyle name="Normal 12 4 4 2" xfId="4593"/>
    <cellStyle name="Normal 12 4 4 2 2" xfId="4594"/>
    <cellStyle name="Normal 12 4 4 2 2 2" xfId="4595"/>
    <cellStyle name="Normal 12 4 4 2 3" xfId="4596"/>
    <cellStyle name="Normal 12 4 4 3" xfId="4597"/>
    <cellStyle name="Normal 12 4 4 3 2" xfId="4598"/>
    <cellStyle name="Normal 12 4 4 3 2 2" xfId="4599"/>
    <cellStyle name="Normal 12 4 4 3 3" xfId="4600"/>
    <cellStyle name="Normal 12 4 4 4" xfId="4601"/>
    <cellStyle name="Normal 12 4 4 4 2" xfId="4602"/>
    <cellStyle name="Normal 12 4 4 5" xfId="4603"/>
    <cellStyle name="Normal 12 4 5" xfId="4604"/>
    <cellStyle name="Normal 12 4 5 2" xfId="4605"/>
    <cellStyle name="Normal 12 4 5 2 2" xfId="4606"/>
    <cellStyle name="Normal 12 4 5 3" xfId="4607"/>
    <cellStyle name="Normal 12 4 6" xfId="4608"/>
    <cellStyle name="Normal 12 4 6 2" xfId="4609"/>
    <cellStyle name="Normal 12 4 6 2 2" xfId="4610"/>
    <cellStyle name="Normal 12 4 6 3" xfId="4611"/>
    <cellStyle name="Normal 12 4 7" xfId="4612"/>
    <cellStyle name="Normal 12 4 7 2" xfId="4613"/>
    <cellStyle name="Normal 12 5" xfId="4614"/>
    <cellStyle name="Normal 12 5 2" xfId="4615"/>
    <cellStyle name="Normal 12 5 2 2" xfId="4616"/>
    <cellStyle name="Normal 12 5 2 2 2" xfId="4617"/>
    <cellStyle name="Normal 12 5 2 2 2 2" xfId="4618"/>
    <cellStyle name="Normal 12 5 2 2 2 2 2" xfId="4619"/>
    <cellStyle name="Normal 12 5 2 2 2 3" xfId="4620"/>
    <cellStyle name="Normal 12 5 2 2 3" xfId="4621"/>
    <cellStyle name="Normal 12 5 2 2 3 2" xfId="4622"/>
    <cellStyle name="Normal 12 5 2 2 3 2 2" xfId="4623"/>
    <cellStyle name="Normal 12 5 2 2 3 3" xfId="4624"/>
    <cellStyle name="Normal 12 5 2 2 4" xfId="4625"/>
    <cellStyle name="Normal 12 5 2 2 4 2" xfId="4626"/>
    <cellStyle name="Normal 12 5 2 2 5" xfId="4627"/>
    <cellStyle name="Normal 12 5 2 3" xfId="4628"/>
    <cellStyle name="Normal 12 5 2 3 2" xfId="4629"/>
    <cellStyle name="Normal 12 5 2 3 2 2" xfId="4630"/>
    <cellStyle name="Normal 12 5 2 3 3" xfId="4631"/>
    <cellStyle name="Normal 12 5 2 4" xfId="4632"/>
    <cellStyle name="Normal 12 5 2 4 2" xfId="4633"/>
    <cellStyle name="Normal 12 5 2 4 2 2" xfId="4634"/>
    <cellStyle name="Normal 12 5 2 4 3" xfId="4635"/>
    <cellStyle name="Normal 12 5 2 5" xfId="4636"/>
    <cellStyle name="Normal 12 5 2 5 2" xfId="4637"/>
    <cellStyle name="Normal 12 5 2 6" xfId="4638"/>
    <cellStyle name="Normal 12 5 3" xfId="4639"/>
    <cellStyle name="Normal 12 5 3 2" xfId="4640"/>
    <cellStyle name="Normal 12 5 3 2 2" xfId="4641"/>
    <cellStyle name="Normal 12 5 3 2 2 2" xfId="4642"/>
    <cellStyle name="Normal 12 5 3 2 3" xfId="4643"/>
    <cellStyle name="Normal 12 5 3 3" xfId="4644"/>
    <cellStyle name="Normal 12 5 3 3 2" xfId="4645"/>
    <cellStyle name="Normal 12 5 3 3 2 2" xfId="4646"/>
    <cellStyle name="Normal 12 5 3 3 3" xfId="4647"/>
    <cellStyle name="Normal 12 5 3 4" xfId="4648"/>
    <cellStyle name="Normal 12 5 3 4 2" xfId="4649"/>
    <cellStyle name="Normal 12 5 3 5" xfId="4650"/>
    <cellStyle name="Normal 12 5 4" xfId="4651"/>
    <cellStyle name="Normal 12 5 4 2" xfId="4652"/>
    <cellStyle name="Normal 12 5 4 2 2" xfId="4653"/>
    <cellStyle name="Normal 12 5 4 3" xfId="4654"/>
    <cellStyle name="Normal 12 5 5" xfId="4655"/>
    <cellStyle name="Normal 12 5 5 2" xfId="4656"/>
    <cellStyle name="Normal 12 5 5 2 2" xfId="4657"/>
    <cellStyle name="Normal 12 5 5 3" xfId="4658"/>
    <cellStyle name="Normal 12 5 6" xfId="4659"/>
    <cellStyle name="Normal 12 5 6 2" xfId="4660"/>
    <cellStyle name="Normal 12 5 7" xfId="4661"/>
    <cellStyle name="Normal 12 6" xfId="4662"/>
    <cellStyle name="Normal 12 6 2" xfId="4663"/>
    <cellStyle name="Normal 12 6 2 2" xfId="4664"/>
    <cellStyle name="Normal 12 6 2 2 2" xfId="4665"/>
    <cellStyle name="Normal 12 6 2 2 2 2" xfId="4666"/>
    <cellStyle name="Normal 12 6 2 2 3" xfId="4667"/>
    <cellStyle name="Normal 12 6 2 3" xfId="4668"/>
    <cellStyle name="Normal 12 6 2 3 2" xfId="4669"/>
    <cellStyle name="Normal 12 6 2 3 2 2" xfId="4670"/>
    <cellStyle name="Normal 12 6 2 3 3" xfId="4671"/>
    <cellStyle name="Normal 12 6 2 4" xfId="4672"/>
    <cellStyle name="Normal 12 6 2 4 2" xfId="4673"/>
    <cellStyle name="Normal 12 6 2 5" xfId="4674"/>
    <cellStyle name="Normal 12 6 3" xfId="4675"/>
    <cellStyle name="Normal 12 6 3 2" xfId="4676"/>
    <cellStyle name="Normal 12 6 3 2 2" xfId="4677"/>
    <cellStyle name="Normal 12 6 3 3" xfId="4678"/>
    <cellStyle name="Normal 12 6 4" xfId="4679"/>
    <cellStyle name="Normal 12 6 4 2" xfId="4680"/>
    <cellStyle name="Normal 12 6 4 2 2" xfId="4681"/>
    <cellStyle name="Normal 12 6 4 3" xfId="4682"/>
    <cellStyle name="Normal 12 6 5" xfId="4683"/>
    <cellStyle name="Normal 12 6 5 2" xfId="4684"/>
    <cellStyle name="Normal 12 6 6" xfId="4685"/>
    <cellStyle name="Normal 12 6 7" xfId="4686"/>
    <cellStyle name="Normal 12 7" xfId="4687"/>
    <cellStyle name="Normal 12 7 2" xfId="4688"/>
    <cellStyle name="Normal 12 7 2 2" xfId="4689"/>
    <cellStyle name="Normal 12 7 2 2 2" xfId="4690"/>
    <cellStyle name="Normal 12 7 2 3" xfId="4691"/>
    <cellStyle name="Normal 12 7 3" xfId="4692"/>
    <cellStyle name="Normal 12 7 3 2" xfId="4693"/>
    <cellStyle name="Normal 12 7 3 2 2" xfId="4694"/>
    <cellStyle name="Normal 12 7 3 3" xfId="4695"/>
    <cellStyle name="Normal 12 7 4" xfId="4696"/>
    <cellStyle name="Normal 12 7 4 2" xfId="4697"/>
    <cellStyle name="Normal 12 8" xfId="4698"/>
    <cellStyle name="Normal 12 8 2" xfId="4699"/>
    <cellStyle name="Normal 12 8 2 2" xfId="4700"/>
    <cellStyle name="Normal 12 9" xfId="4701"/>
    <cellStyle name="Normal 12 9 2" xfId="4702"/>
    <cellStyle name="Normal 12 9 2 2" xfId="4703"/>
    <cellStyle name="Normal 12 9 3" xfId="4704"/>
    <cellStyle name="Normal 12_2180" xfId="4705"/>
    <cellStyle name="Normal 120" xfId="4706"/>
    <cellStyle name="Normal 120 2" xfId="4707"/>
    <cellStyle name="Normal 121" xfId="4708"/>
    <cellStyle name="Normal 121 2" xfId="4709"/>
    <cellStyle name="Normal 122" xfId="4710"/>
    <cellStyle name="Normal 122 2" xfId="4711"/>
    <cellStyle name="Normal 123" xfId="4712"/>
    <cellStyle name="Normal 123 2" xfId="4713"/>
    <cellStyle name="Normal 124" xfId="4714"/>
    <cellStyle name="Normal 124 2" xfId="4715"/>
    <cellStyle name="Normal 125" xfId="4716"/>
    <cellStyle name="Normal 125 2" xfId="4717"/>
    <cellStyle name="Normal 126" xfId="4718"/>
    <cellStyle name="Normal 126 2" xfId="4719"/>
    <cellStyle name="Normal 127" xfId="4720"/>
    <cellStyle name="Normal 127 2" xfId="4721"/>
    <cellStyle name="Normal 128" xfId="4722"/>
    <cellStyle name="Normal 128 2" xfId="4723"/>
    <cellStyle name="Normal 128 3" xfId="4724"/>
    <cellStyle name="Normal 129" xfId="4725"/>
    <cellStyle name="Normal 129 2" xfId="4726"/>
    <cellStyle name="Normal 13" xfId="4727"/>
    <cellStyle name="Normal 13 10" xfId="4728"/>
    <cellStyle name="Normal 13 10 2" xfId="4729"/>
    <cellStyle name="Normal 13 11" xfId="4730"/>
    <cellStyle name="Normal 13 12" xfId="4731"/>
    <cellStyle name="Normal 13 2" xfId="4732"/>
    <cellStyle name="Normal 13 2 2" xfId="4733"/>
    <cellStyle name="Normal 13 2 2 2" xfId="4734"/>
    <cellStyle name="Normal 13 2 2 2 2" xfId="4735"/>
    <cellStyle name="Normal 13 2 2 2 2 2" xfId="4736"/>
    <cellStyle name="Normal 13 2 2 2 2 2 2" xfId="4737"/>
    <cellStyle name="Normal 13 2 2 2 2 2 2 2" xfId="4738"/>
    <cellStyle name="Normal 13 2 2 2 2 2 2 2 2" xfId="4739"/>
    <cellStyle name="Normal 13 2 2 2 2 2 2 3" xfId="4740"/>
    <cellStyle name="Normal 13 2 2 2 2 2 3" xfId="4741"/>
    <cellStyle name="Normal 13 2 2 2 2 2 3 2" xfId="4742"/>
    <cellStyle name="Normal 13 2 2 2 2 2 3 2 2" xfId="4743"/>
    <cellStyle name="Normal 13 2 2 2 2 2 3 3" xfId="4744"/>
    <cellStyle name="Normal 13 2 2 2 2 2 4" xfId="4745"/>
    <cellStyle name="Normal 13 2 2 2 2 2 4 2" xfId="4746"/>
    <cellStyle name="Normal 13 2 2 2 2 2 5" xfId="4747"/>
    <cellStyle name="Normal 13 2 2 2 2 3" xfId="4748"/>
    <cellStyle name="Normal 13 2 2 2 2 3 2" xfId="4749"/>
    <cellStyle name="Normal 13 2 2 2 2 3 2 2" xfId="4750"/>
    <cellStyle name="Normal 13 2 2 2 2 3 3" xfId="4751"/>
    <cellStyle name="Normal 13 2 2 2 2 4" xfId="4752"/>
    <cellStyle name="Normal 13 2 2 2 2 4 2" xfId="4753"/>
    <cellStyle name="Normal 13 2 2 2 2 4 2 2" xfId="4754"/>
    <cellStyle name="Normal 13 2 2 2 2 4 3" xfId="4755"/>
    <cellStyle name="Normal 13 2 2 2 2 5" xfId="4756"/>
    <cellStyle name="Normal 13 2 2 2 2 5 2" xfId="4757"/>
    <cellStyle name="Normal 13 2 2 2 2 6" xfId="4758"/>
    <cellStyle name="Normal 13 2 2 2 3" xfId="4759"/>
    <cellStyle name="Normal 13 2 2 2 3 2" xfId="4760"/>
    <cellStyle name="Normal 13 2 2 2 3 2 2" xfId="4761"/>
    <cellStyle name="Normal 13 2 2 2 3 2 2 2" xfId="4762"/>
    <cellStyle name="Normal 13 2 2 2 3 2 3" xfId="4763"/>
    <cellStyle name="Normal 13 2 2 2 3 3" xfId="4764"/>
    <cellStyle name="Normal 13 2 2 2 3 3 2" xfId="4765"/>
    <cellStyle name="Normal 13 2 2 2 3 3 2 2" xfId="4766"/>
    <cellStyle name="Normal 13 2 2 2 3 3 3" xfId="4767"/>
    <cellStyle name="Normal 13 2 2 2 3 4" xfId="4768"/>
    <cellStyle name="Normal 13 2 2 2 3 4 2" xfId="4769"/>
    <cellStyle name="Normal 13 2 2 2 3 5" xfId="4770"/>
    <cellStyle name="Normal 13 2 2 2 4" xfId="4771"/>
    <cellStyle name="Normal 13 2 2 2 4 2" xfId="4772"/>
    <cellStyle name="Normal 13 2 2 2 4 2 2" xfId="4773"/>
    <cellStyle name="Normal 13 2 2 2 4 3" xfId="4774"/>
    <cellStyle name="Normal 13 2 2 2 5" xfId="4775"/>
    <cellStyle name="Normal 13 2 2 2 5 2" xfId="4776"/>
    <cellStyle name="Normal 13 2 2 2 5 2 2" xfId="4777"/>
    <cellStyle name="Normal 13 2 2 2 5 3" xfId="4778"/>
    <cellStyle name="Normal 13 2 2 2 6" xfId="4779"/>
    <cellStyle name="Normal 13 2 2 2 6 2" xfId="4780"/>
    <cellStyle name="Normal 13 2 2 3" xfId="4781"/>
    <cellStyle name="Normal 13 2 2 3 2" xfId="4782"/>
    <cellStyle name="Normal 13 2 2 3 2 2" xfId="4783"/>
    <cellStyle name="Normal 13 2 2 3 2 2 2" xfId="4784"/>
    <cellStyle name="Normal 13 2 2 3 2 2 2 2" xfId="4785"/>
    <cellStyle name="Normal 13 2 2 3 2 2 3" xfId="4786"/>
    <cellStyle name="Normal 13 2 2 3 2 3" xfId="4787"/>
    <cellStyle name="Normal 13 2 2 3 2 3 2" xfId="4788"/>
    <cellStyle name="Normal 13 2 2 3 2 3 2 2" xfId="4789"/>
    <cellStyle name="Normal 13 2 2 3 2 3 3" xfId="4790"/>
    <cellStyle name="Normal 13 2 2 3 2 4" xfId="4791"/>
    <cellStyle name="Normal 13 2 2 3 2 4 2" xfId="4792"/>
    <cellStyle name="Normal 13 2 2 3 2 5" xfId="4793"/>
    <cellStyle name="Normal 13 2 2 3 3" xfId="4794"/>
    <cellStyle name="Normal 13 2 2 3 3 2" xfId="4795"/>
    <cellStyle name="Normal 13 2 2 3 3 2 2" xfId="4796"/>
    <cellStyle name="Normal 13 2 2 3 3 3" xfId="4797"/>
    <cellStyle name="Normal 13 2 2 3 4" xfId="4798"/>
    <cellStyle name="Normal 13 2 2 3 4 2" xfId="4799"/>
    <cellStyle name="Normal 13 2 2 3 4 2 2" xfId="4800"/>
    <cellStyle name="Normal 13 2 2 3 4 3" xfId="4801"/>
    <cellStyle name="Normal 13 2 2 3 5" xfId="4802"/>
    <cellStyle name="Normal 13 2 2 3 5 2" xfId="4803"/>
    <cellStyle name="Normal 13 2 2 4" xfId="4804"/>
    <cellStyle name="Normal 13 2 2 4 2" xfId="4805"/>
    <cellStyle name="Normal 13 2 2 4 2 2" xfId="4806"/>
    <cellStyle name="Normal 13 2 2 4 2 2 2" xfId="4807"/>
    <cellStyle name="Normal 13 2 2 4 2 3" xfId="4808"/>
    <cellStyle name="Normal 13 2 2 4 3" xfId="4809"/>
    <cellStyle name="Normal 13 2 2 4 3 2" xfId="4810"/>
    <cellStyle name="Normal 13 2 2 4 3 2 2" xfId="4811"/>
    <cellStyle name="Normal 13 2 2 4 3 3" xfId="4812"/>
    <cellStyle name="Normal 13 2 2 4 4" xfId="4813"/>
    <cellStyle name="Normal 13 2 2 4 4 2" xfId="4814"/>
    <cellStyle name="Normal 13 2 2 4 5" xfId="4815"/>
    <cellStyle name="Normal 13 2 2 5" xfId="4816"/>
    <cellStyle name="Normal 13 2 2 5 2" xfId="4817"/>
    <cellStyle name="Normal 13 2 2 5 2 2" xfId="4818"/>
    <cellStyle name="Normal 13 2 2 5 3" xfId="4819"/>
    <cellStyle name="Normal 13 2 2 6" xfId="4820"/>
    <cellStyle name="Normal 13 2 2 6 2" xfId="4821"/>
    <cellStyle name="Normal 13 2 2 6 2 2" xfId="4822"/>
    <cellStyle name="Normal 13 2 2 6 3" xfId="4823"/>
    <cellStyle name="Normal 13 2 2 7" xfId="4824"/>
    <cellStyle name="Normal 13 2 2 7 2" xfId="4825"/>
    <cellStyle name="Normal 13 2 2 8" xfId="4826"/>
    <cellStyle name="Normal 13 2 2 9" xfId="4827"/>
    <cellStyle name="Normal 13 2 3" xfId="4828"/>
    <cellStyle name="Normal 13 2 3 2" xfId="4829"/>
    <cellStyle name="Normal 13 2 3 2 2" xfId="4830"/>
    <cellStyle name="Normal 13 2 3 2 2 2" xfId="4831"/>
    <cellStyle name="Normal 13 2 3 2 2 2 2" xfId="4832"/>
    <cellStyle name="Normal 13 2 3 2 2 2 2 2" xfId="4833"/>
    <cellStyle name="Normal 13 2 3 2 2 2 3" xfId="4834"/>
    <cellStyle name="Normal 13 2 3 2 2 3" xfId="4835"/>
    <cellStyle name="Normal 13 2 3 2 2 3 2" xfId="4836"/>
    <cellStyle name="Normal 13 2 3 2 2 3 2 2" xfId="4837"/>
    <cellStyle name="Normal 13 2 3 2 2 3 3" xfId="4838"/>
    <cellStyle name="Normal 13 2 3 2 2 4" xfId="4839"/>
    <cellStyle name="Normal 13 2 3 2 2 4 2" xfId="4840"/>
    <cellStyle name="Normal 13 2 3 2 2 5" xfId="4841"/>
    <cellStyle name="Normal 13 2 3 2 3" xfId="4842"/>
    <cellStyle name="Normal 13 2 3 2 3 2" xfId="4843"/>
    <cellStyle name="Normal 13 2 3 2 3 2 2" xfId="4844"/>
    <cellStyle name="Normal 13 2 3 2 3 3" xfId="4845"/>
    <cellStyle name="Normal 13 2 3 2 4" xfId="4846"/>
    <cellStyle name="Normal 13 2 3 2 4 2" xfId="4847"/>
    <cellStyle name="Normal 13 2 3 2 4 2 2" xfId="4848"/>
    <cellStyle name="Normal 13 2 3 2 4 3" xfId="4849"/>
    <cellStyle name="Normal 13 2 3 2 5" xfId="4850"/>
    <cellStyle name="Normal 13 2 3 2 5 2" xfId="4851"/>
    <cellStyle name="Normal 13 2 3 2 6" xfId="4852"/>
    <cellStyle name="Normal 13 2 3 3" xfId="4853"/>
    <cellStyle name="Normal 13 2 3 3 2" xfId="4854"/>
    <cellStyle name="Normal 13 2 3 3 2 2" xfId="4855"/>
    <cellStyle name="Normal 13 2 3 3 2 2 2" xfId="4856"/>
    <cellStyle name="Normal 13 2 3 3 2 3" xfId="4857"/>
    <cellStyle name="Normal 13 2 3 3 3" xfId="4858"/>
    <cellStyle name="Normal 13 2 3 3 3 2" xfId="4859"/>
    <cellStyle name="Normal 13 2 3 3 3 2 2" xfId="4860"/>
    <cellStyle name="Normal 13 2 3 3 3 3" xfId="4861"/>
    <cellStyle name="Normal 13 2 3 3 4" xfId="4862"/>
    <cellStyle name="Normal 13 2 3 3 4 2" xfId="4863"/>
    <cellStyle name="Normal 13 2 3 3 5" xfId="4864"/>
    <cellStyle name="Normal 13 2 3 4" xfId="4865"/>
    <cellStyle name="Normal 13 2 3 4 2" xfId="4866"/>
    <cellStyle name="Normal 13 2 3 4 2 2" xfId="4867"/>
    <cellStyle name="Normal 13 2 3 4 3" xfId="4868"/>
    <cellStyle name="Normal 13 2 3 5" xfId="4869"/>
    <cellStyle name="Normal 13 2 3 5 2" xfId="4870"/>
    <cellStyle name="Normal 13 2 3 5 2 2" xfId="4871"/>
    <cellStyle name="Normal 13 2 3 5 3" xfId="4872"/>
    <cellStyle name="Normal 13 2 3 6" xfId="4873"/>
    <cellStyle name="Normal 13 2 3 6 2" xfId="4874"/>
    <cellStyle name="Normal 13 2 3 7" xfId="4875"/>
    <cellStyle name="Normal 13 2 3 8" xfId="4876"/>
    <cellStyle name="Normal 13 2 4" xfId="4877"/>
    <cellStyle name="Normal 13 2 4 2" xfId="4878"/>
    <cellStyle name="Normal 13 2 4 2 2" xfId="4879"/>
    <cellStyle name="Normal 13 2 4 2 2 2" xfId="4880"/>
    <cellStyle name="Normal 13 2 4 2 2 2 2" xfId="4881"/>
    <cellStyle name="Normal 13 2 4 2 2 3" xfId="4882"/>
    <cellStyle name="Normal 13 2 4 2 3" xfId="4883"/>
    <cellStyle name="Normal 13 2 4 2 3 2" xfId="4884"/>
    <cellStyle name="Normal 13 2 4 2 3 2 2" xfId="4885"/>
    <cellStyle name="Normal 13 2 4 2 3 3" xfId="4886"/>
    <cellStyle name="Normal 13 2 4 2 4" xfId="4887"/>
    <cellStyle name="Normal 13 2 4 2 4 2" xfId="4888"/>
    <cellStyle name="Normal 13 2 4 2 5" xfId="4889"/>
    <cellStyle name="Normal 13 2 4 3" xfId="4890"/>
    <cellStyle name="Normal 13 2 4 3 2" xfId="4891"/>
    <cellStyle name="Normal 13 2 4 3 2 2" xfId="4892"/>
    <cellStyle name="Normal 13 2 4 3 3" xfId="4893"/>
    <cellStyle name="Normal 13 2 4 4" xfId="4894"/>
    <cellStyle name="Normal 13 2 4 4 2" xfId="4895"/>
    <cellStyle name="Normal 13 2 4 4 2 2" xfId="4896"/>
    <cellStyle name="Normal 13 2 4 4 3" xfId="4897"/>
    <cellStyle name="Normal 13 2 4 5" xfId="4898"/>
    <cellStyle name="Normal 13 2 4 5 2" xfId="4899"/>
    <cellStyle name="Normal 13 2 4 6" xfId="4900"/>
    <cellStyle name="Normal 13 2 5" xfId="4901"/>
    <cellStyle name="Normal 13 2 5 2" xfId="4902"/>
    <cellStyle name="Normal 13 2 5 2 2" xfId="4903"/>
    <cellStyle name="Normal 13 2 5 2 2 2" xfId="4904"/>
    <cellStyle name="Normal 13 2 5 2 3" xfId="4905"/>
    <cellStyle name="Normal 13 2 5 3" xfId="4906"/>
    <cellStyle name="Normal 13 2 5 3 2" xfId="4907"/>
    <cellStyle name="Normal 13 2 5 3 2 2" xfId="4908"/>
    <cellStyle name="Normal 13 2 5 3 3" xfId="4909"/>
    <cellStyle name="Normal 13 2 5 4" xfId="4910"/>
    <cellStyle name="Normal 13 2 5 4 2" xfId="4911"/>
    <cellStyle name="Normal 13 2 5 5" xfId="4912"/>
    <cellStyle name="Normal 13 2 6" xfId="4913"/>
    <cellStyle name="Normal 13 2 6 2" xfId="4914"/>
    <cellStyle name="Normal 13 2 6 2 2" xfId="4915"/>
    <cellStyle name="Normal 13 2 6 3" xfId="4916"/>
    <cellStyle name="Normal 13 2 7" xfId="4917"/>
    <cellStyle name="Normal 13 2 7 2" xfId="4918"/>
    <cellStyle name="Normal 13 2 7 2 2" xfId="4919"/>
    <cellStyle name="Normal 13 2 7 3" xfId="4920"/>
    <cellStyle name="Normal 13 2 8" xfId="4921"/>
    <cellStyle name="Normal 13 2 8 2" xfId="4922"/>
    <cellStyle name="Normal 13 3" xfId="4923"/>
    <cellStyle name="Normal 13 3 2" xfId="4924"/>
    <cellStyle name="Normal 13 3 2 2" xfId="4925"/>
    <cellStyle name="Normal 13 3 2 2 2" xfId="4926"/>
    <cellStyle name="Normal 13 3 2 2 2 2" xfId="4927"/>
    <cellStyle name="Normal 13 3 2 2 2 2 2" xfId="4928"/>
    <cellStyle name="Normal 13 3 2 2 2 2 2 2" xfId="4929"/>
    <cellStyle name="Normal 13 3 2 2 2 2 3" xfId="4930"/>
    <cellStyle name="Normal 13 3 2 2 2 3" xfId="4931"/>
    <cellStyle name="Normal 13 3 2 2 2 3 2" xfId="4932"/>
    <cellStyle name="Normal 13 3 2 2 2 3 2 2" xfId="4933"/>
    <cellStyle name="Normal 13 3 2 2 2 3 3" xfId="4934"/>
    <cellStyle name="Normal 13 3 2 2 2 4" xfId="4935"/>
    <cellStyle name="Normal 13 3 2 2 2 4 2" xfId="4936"/>
    <cellStyle name="Normal 13 3 2 2 2 5" xfId="4937"/>
    <cellStyle name="Normal 13 3 2 2 3" xfId="4938"/>
    <cellStyle name="Normal 13 3 2 2 3 2" xfId="4939"/>
    <cellStyle name="Normal 13 3 2 2 3 2 2" xfId="4940"/>
    <cellStyle name="Normal 13 3 2 2 3 3" xfId="4941"/>
    <cellStyle name="Normal 13 3 2 2 4" xfId="4942"/>
    <cellStyle name="Normal 13 3 2 2 4 2" xfId="4943"/>
    <cellStyle name="Normal 13 3 2 2 4 2 2" xfId="4944"/>
    <cellStyle name="Normal 13 3 2 2 4 3" xfId="4945"/>
    <cellStyle name="Normal 13 3 2 2 5" xfId="4946"/>
    <cellStyle name="Normal 13 3 2 2 5 2" xfId="4947"/>
    <cellStyle name="Normal 13 3 2 2 6" xfId="4948"/>
    <cellStyle name="Normal 13 3 2 3" xfId="4949"/>
    <cellStyle name="Normal 13 3 2 3 2" xfId="4950"/>
    <cellStyle name="Normal 13 3 2 3 2 2" xfId="4951"/>
    <cellStyle name="Normal 13 3 2 3 2 2 2" xfId="4952"/>
    <cellStyle name="Normal 13 3 2 3 2 3" xfId="4953"/>
    <cellStyle name="Normal 13 3 2 3 3" xfId="4954"/>
    <cellStyle name="Normal 13 3 2 3 3 2" xfId="4955"/>
    <cellStyle name="Normal 13 3 2 3 3 2 2" xfId="4956"/>
    <cellStyle name="Normal 13 3 2 3 3 3" xfId="4957"/>
    <cellStyle name="Normal 13 3 2 3 4" xfId="4958"/>
    <cellStyle name="Normal 13 3 2 3 4 2" xfId="4959"/>
    <cellStyle name="Normal 13 3 2 3 5" xfId="4960"/>
    <cellStyle name="Normal 13 3 2 4" xfId="4961"/>
    <cellStyle name="Normal 13 3 2 4 2" xfId="4962"/>
    <cellStyle name="Normal 13 3 2 4 2 2" xfId="4963"/>
    <cellStyle name="Normal 13 3 2 4 3" xfId="4964"/>
    <cellStyle name="Normal 13 3 2 5" xfId="4965"/>
    <cellStyle name="Normal 13 3 2 5 2" xfId="4966"/>
    <cellStyle name="Normal 13 3 2 5 2 2" xfId="4967"/>
    <cellStyle name="Normal 13 3 2 5 3" xfId="4968"/>
    <cellStyle name="Normal 13 3 2 6" xfId="4969"/>
    <cellStyle name="Normal 13 3 2 6 2" xfId="4970"/>
    <cellStyle name="Normal 13 3 2 7" xfId="4971"/>
    <cellStyle name="Normal 13 3 3" xfId="4972"/>
    <cellStyle name="Normal 13 3 3 2" xfId="4973"/>
    <cellStyle name="Normal 13 3 3 2 2" xfId="4974"/>
    <cellStyle name="Normal 13 3 3 2 2 2" xfId="4975"/>
    <cellStyle name="Normal 13 3 3 2 2 2 2" xfId="4976"/>
    <cellStyle name="Normal 13 3 3 2 2 3" xfId="4977"/>
    <cellStyle name="Normal 13 3 3 2 3" xfId="4978"/>
    <cellStyle name="Normal 13 3 3 2 3 2" xfId="4979"/>
    <cellStyle name="Normal 13 3 3 2 3 2 2" xfId="4980"/>
    <cellStyle name="Normal 13 3 3 2 3 3" xfId="4981"/>
    <cellStyle name="Normal 13 3 3 2 4" xfId="4982"/>
    <cellStyle name="Normal 13 3 3 2 4 2" xfId="4983"/>
    <cellStyle name="Normal 13 3 3 2 5" xfId="4984"/>
    <cellStyle name="Normal 13 3 3 3" xfId="4985"/>
    <cellStyle name="Normal 13 3 3 3 2" xfId="4986"/>
    <cellStyle name="Normal 13 3 3 3 2 2" xfId="4987"/>
    <cellStyle name="Normal 13 3 3 3 3" xfId="4988"/>
    <cellStyle name="Normal 13 3 3 4" xfId="4989"/>
    <cellStyle name="Normal 13 3 3 4 2" xfId="4990"/>
    <cellStyle name="Normal 13 3 3 4 2 2" xfId="4991"/>
    <cellStyle name="Normal 13 3 3 4 3" xfId="4992"/>
    <cellStyle name="Normal 13 3 3 5" xfId="4993"/>
    <cellStyle name="Normal 13 3 3 5 2" xfId="4994"/>
    <cellStyle name="Normal 13 3 3 6" xfId="4995"/>
    <cellStyle name="Normal 13 3 4" xfId="4996"/>
    <cellStyle name="Normal 13 3 4 2" xfId="4997"/>
    <cellStyle name="Normal 13 3 4 2 2" xfId="4998"/>
    <cellStyle name="Normal 13 3 4 2 2 2" xfId="4999"/>
    <cellStyle name="Normal 13 3 4 2 3" xfId="5000"/>
    <cellStyle name="Normal 13 3 4 3" xfId="5001"/>
    <cellStyle name="Normal 13 3 4 3 2" xfId="5002"/>
    <cellStyle name="Normal 13 3 4 3 2 2" xfId="5003"/>
    <cellStyle name="Normal 13 3 4 3 3" xfId="5004"/>
    <cellStyle name="Normal 13 3 4 4" xfId="5005"/>
    <cellStyle name="Normal 13 3 4 4 2" xfId="5006"/>
    <cellStyle name="Normal 13 3 4 5" xfId="5007"/>
    <cellStyle name="Normal 13 3 5" xfId="5008"/>
    <cellStyle name="Normal 13 3 5 2" xfId="5009"/>
    <cellStyle name="Normal 13 3 5 2 2" xfId="5010"/>
    <cellStyle name="Normal 13 3 5 3" xfId="5011"/>
    <cellStyle name="Normal 13 3 6" xfId="5012"/>
    <cellStyle name="Normal 13 3 6 2" xfId="5013"/>
    <cellStyle name="Normal 13 3 6 2 2" xfId="5014"/>
    <cellStyle name="Normal 13 3 6 3" xfId="5015"/>
    <cellStyle name="Normal 13 3 7" xfId="5016"/>
    <cellStyle name="Normal 13 3 7 2" xfId="5017"/>
    <cellStyle name="Normal 13 3 8" xfId="5018"/>
    <cellStyle name="Normal 13 3 9" xfId="5019"/>
    <cellStyle name="Normal 13 4" xfId="5020"/>
    <cellStyle name="Normal 13 4 2" xfId="5021"/>
    <cellStyle name="Normal 13 4 2 2" xfId="5022"/>
    <cellStyle name="Normal 13 4 2 2 2" xfId="5023"/>
    <cellStyle name="Normal 13 4 2 2 2 2" xfId="5024"/>
    <cellStyle name="Normal 13 4 2 2 2 2 2" xfId="5025"/>
    <cellStyle name="Normal 13 4 2 2 2 2 2 2" xfId="5026"/>
    <cellStyle name="Normal 13 4 2 2 2 2 3" xfId="5027"/>
    <cellStyle name="Normal 13 4 2 2 2 3" xfId="5028"/>
    <cellStyle name="Normal 13 4 2 2 2 3 2" xfId="5029"/>
    <cellStyle name="Normal 13 4 2 2 2 3 2 2" xfId="5030"/>
    <cellStyle name="Normal 13 4 2 2 2 3 3" xfId="5031"/>
    <cellStyle name="Normal 13 4 2 2 2 4" xfId="5032"/>
    <cellStyle name="Normal 13 4 2 2 2 4 2" xfId="5033"/>
    <cellStyle name="Normal 13 4 2 2 2 5" xfId="5034"/>
    <cellStyle name="Normal 13 4 2 2 3" xfId="5035"/>
    <cellStyle name="Normal 13 4 2 2 3 2" xfId="5036"/>
    <cellStyle name="Normal 13 4 2 2 3 2 2" xfId="5037"/>
    <cellStyle name="Normal 13 4 2 2 3 3" xfId="5038"/>
    <cellStyle name="Normal 13 4 2 2 4" xfId="5039"/>
    <cellStyle name="Normal 13 4 2 2 4 2" xfId="5040"/>
    <cellStyle name="Normal 13 4 2 2 4 2 2" xfId="5041"/>
    <cellStyle name="Normal 13 4 2 2 4 3" xfId="5042"/>
    <cellStyle name="Normal 13 4 2 2 5" xfId="5043"/>
    <cellStyle name="Normal 13 4 2 2 5 2" xfId="5044"/>
    <cellStyle name="Normal 13 4 2 2 6" xfId="5045"/>
    <cellStyle name="Normal 13 4 2 3" xfId="5046"/>
    <cellStyle name="Normal 13 4 2 3 2" xfId="5047"/>
    <cellStyle name="Normal 13 4 2 3 2 2" xfId="5048"/>
    <cellStyle name="Normal 13 4 2 3 2 2 2" xfId="5049"/>
    <cellStyle name="Normal 13 4 2 3 2 3" xfId="5050"/>
    <cellStyle name="Normal 13 4 2 3 3" xfId="5051"/>
    <cellStyle name="Normal 13 4 2 3 3 2" xfId="5052"/>
    <cellStyle name="Normal 13 4 2 3 3 2 2" xfId="5053"/>
    <cellStyle name="Normal 13 4 2 3 3 3" xfId="5054"/>
    <cellStyle name="Normal 13 4 2 3 4" xfId="5055"/>
    <cellStyle name="Normal 13 4 2 3 4 2" xfId="5056"/>
    <cellStyle name="Normal 13 4 2 3 5" xfId="5057"/>
    <cellStyle name="Normal 13 4 2 4" xfId="5058"/>
    <cellStyle name="Normal 13 4 2 4 2" xfId="5059"/>
    <cellStyle name="Normal 13 4 2 4 2 2" xfId="5060"/>
    <cellStyle name="Normal 13 4 2 4 3" xfId="5061"/>
    <cellStyle name="Normal 13 4 2 5" xfId="5062"/>
    <cellStyle name="Normal 13 4 2 5 2" xfId="5063"/>
    <cellStyle name="Normal 13 4 2 5 2 2" xfId="5064"/>
    <cellStyle name="Normal 13 4 2 5 3" xfId="5065"/>
    <cellStyle name="Normal 13 4 2 6" xfId="5066"/>
    <cellStyle name="Normal 13 4 2 6 2" xfId="5067"/>
    <cellStyle name="Normal 13 4 2 7" xfId="5068"/>
    <cellStyle name="Normal 13 4 3" xfId="5069"/>
    <cellStyle name="Normal 13 4 3 2" xfId="5070"/>
    <cellStyle name="Normal 13 4 3 2 2" xfId="5071"/>
    <cellStyle name="Normal 13 4 3 2 2 2" xfId="5072"/>
    <cellStyle name="Normal 13 4 3 2 2 2 2" xfId="5073"/>
    <cellStyle name="Normal 13 4 3 2 2 3" xfId="5074"/>
    <cellStyle name="Normal 13 4 3 2 3" xfId="5075"/>
    <cellStyle name="Normal 13 4 3 2 3 2" xfId="5076"/>
    <cellStyle name="Normal 13 4 3 2 3 2 2" xfId="5077"/>
    <cellStyle name="Normal 13 4 3 2 3 3" xfId="5078"/>
    <cellStyle name="Normal 13 4 3 2 4" xfId="5079"/>
    <cellStyle name="Normal 13 4 3 2 4 2" xfId="5080"/>
    <cellStyle name="Normal 13 4 3 2 5" xfId="5081"/>
    <cellStyle name="Normal 13 4 3 3" xfId="5082"/>
    <cellStyle name="Normal 13 4 3 3 2" xfId="5083"/>
    <cellStyle name="Normal 13 4 3 3 2 2" xfId="5084"/>
    <cellStyle name="Normal 13 4 3 3 3" xfId="5085"/>
    <cellStyle name="Normal 13 4 3 4" xfId="5086"/>
    <cellStyle name="Normal 13 4 3 4 2" xfId="5087"/>
    <cellStyle name="Normal 13 4 3 4 2 2" xfId="5088"/>
    <cellStyle name="Normal 13 4 3 4 3" xfId="5089"/>
    <cellStyle name="Normal 13 4 3 5" xfId="5090"/>
    <cellStyle name="Normal 13 4 3 5 2" xfId="5091"/>
    <cellStyle name="Normal 13 4 3 6" xfId="5092"/>
    <cellStyle name="Normal 13 4 4" xfId="5093"/>
    <cellStyle name="Normal 13 4 4 2" xfId="5094"/>
    <cellStyle name="Normal 13 4 4 2 2" xfId="5095"/>
    <cellStyle name="Normal 13 4 4 2 2 2" xfId="5096"/>
    <cellStyle name="Normal 13 4 4 2 3" xfId="5097"/>
    <cellStyle name="Normal 13 4 4 3" xfId="5098"/>
    <cellStyle name="Normal 13 4 4 3 2" xfId="5099"/>
    <cellStyle name="Normal 13 4 4 3 2 2" xfId="5100"/>
    <cellStyle name="Normal 13 4 4 3 3" xfId="5101"/>
    <cellStyle name="Normal 13 4 4 4" xfId="5102"/>
    <cellStyle name="Normal 13 4 4 4 2" xfId="5103"/>
    <cellStyle name="Normal 13 4 4 5" xfId="5104"/>
    <cellStyle name="Normal 13 4 5" xfId="5105"/>
    <cellStyle name="Normal 13 4 5 2" xfId="5106"/>
    <cellStyle name="Normal 13 4 5 2 2" xfId="5107"/>
    <cellStyle name="Normal 13 4 5 3" xfId="5108"/>
    <cellStyle name="Normal 13 4 6" xfId="5109"/>
    <cellStyle name="Normal 13 4 6 2" xfId="5110"/>
    <cellStyle name="Normal 13 4 6 2 2" xfId="5111"/>
    <cellStyle name="Normal 13 4 6 3" xfId="5112"/>
    <cellStyle name="Normal 13 4 7" xfId="5113"/>
    <cellStyle name="Normal 13 4 7 2" xfId="5114"/>
    <cellStyle name="Normal 13 5" xfId="5115"/>
    <cellStyle name="Normal 13 5 2" xfId="5116"/>
    <cellStyle name="Normal 13 5 2 2" xfId="5117"/>
    <cellStyle name="Normal 13 5 2 2 2" xfId="5118"/>
    <cellStyle name="Normal 13 5 2 2 2 2" xfId="5119"/>
    <cellStyle name="Normal 13 5 2 2 2 2 2" xfId="5120"/>
    <cellStyle name="Normal 13 5 2 2 2 3" xfId="5121"/>
    <cellStyle name="Normal 13 5 2 2 3" xfId="5122"/>
    <cellStyle name="Normal 13 5 2 2 3 2" xfId="5123"/>
    <cellStyle name="Normal 13 5 2 2 3 2 2" xfId="5124"/>
    <cellStyle name="Normal 13 5 2 2 3 3" xfId="5125"/>
    <cellStyle name="Normal 13 5 2 2 4" xfId="5126"/>
    <cellStyle name="Normal 13 5 2 2 4 2" xfId="5127"/>
    <cellStyle name="Normal 13 5 2 2 5" xfId="5128"/>
    <cellStyle name="Normal 13 5 2 3" xfId="5129"/>
    <cellStyle name="Normal 13 5 2 3 2" xfId="5130"/>
    <cellStyle name="Normal 13 5 2 3 2 2" xfId="5131"/>
    <cellStyle name="Normal 13 5 2 3 3" xfId="5132"/>
    <cellStyle name="Normal 13 5 2 4" xfId="5133"/>
    <cellStyle name="Normal 13 5 2 4 2" xfId="5134"/>
    <cellStyle name="Normal 13 5 2 4 2 2" xfId="5135"/>
    <cellStyle name="Normal 13 5 2 4 3" xfId="5136"/>
    <cellStyle name="Normal 13 5 2 5" xfId="5137"/>
    <cellStyle name="Normal 13 5 2 5 2" xfId="5138"/>
    <cellStyle name="Normal 13 5 2 6" xfId="5139"/>
    <cellStyle name="Normal 13 5 3" xfId="5140"/>
    <cellStyle name="Normal 13 5 3 2" xfId="5141"/>
    <cellStyle name="Normal 13 5 3 2 2" xfId="5142"/>
    <cellStyle name="Normal 13 5 3 2 2 2" xfId="5143"/>
    <cellStyle name="Normal 13 5 3 2 3" xfId="5144"/>
    <cellStyle name="Normal 13 5 3 3" xfId="5145"/>
    <cellStyle name="Normal 13 5 3 3 2" xfId="5146"/>
    <cellStyle name="Normal 13 5 3 3 2 2" xfId="5147"/>
    <cellStyle name="Normal 13 5 3 3 3" xfId="5148"/>
    <cellStyle name="Normal 13 5 3 4" xfId="5149"/>
    <cellStyle name="Normal 13 5 3 4 2" xfId="5150"/>
    <cellStyle name="Normal 13 5 3 5" xfId="5151"/>
    <cellStyle name="Normal 13 5 4" xfId="5152"/>
    <cellStyle name="Normal 13 5 4 2" xfId="5153"/>
    <cellStyle name="Normal 13 5 4 2 2" xfId="5154"/>
    <cellStyle name="Normal 13 5 4 3" xfId="5155"/>
    <cellStyle name="Normal 13 5 5" xfId="5156"/>
    <cellStyle name="Normal 13 5 5 2" xfId="5157"/>
    <cellStyle name="Normal 13 5 5 2 2" xfId="5158"/>
    <cellStyle name="Normal 13 5 5 3" xfId="5159"/>
    <cellStyle name="Normal 13 5 6" xfId="5160"/>
    <cellStyle name="Normal 13 5 6 2" xfId="5161"/>
    <cellStyle name="Normal 13 5 7" xfId="5162"/>
    <cellStyle name="Normal 13 6" xfId="5163"/>
    <cellStyle name="Normal 13 6 2" xfId="5164"/>
    <cellStyle name="Normal 13 6 2 2" xfId="5165"/>
    <cellStyle name="Normal 13 6 2 2 2" xfId="5166"/>
    <cellStyle name="Normal 13 6 2 2 2 2" xfId="5167"/>
    <cellStyle name="Normal 13 6 2 2 3" xfId="5168"/>
    <cellStyle name="Normal 13 6 2 3" xfId="5169"/>
    <cellStyle name="Normal 13 6 2 3 2" xfId="5170"/>
    <cellStyle name="Normal 13 6 2 3 2 2" xfId="5171"/>
    <cellStyle name="Normal 13 6 2 3 3" xfId="5172"/>
    <cellStyle name="Normal 13 6 2 4" xfId="5173"/>
    <cellStyle name="Normal 13 6 2 4 2" xfId="5174"/>
    <cellStyle name="Normal 13 6 2 5" xfId="5175"/>
    <cellStyle name="Normal 13 6 3" xfId="5176"/>
    <cellStyle name="Normal 13 6 3 2" xfId="5177"/>
    <cellStyle name="Normal 13 6 3 2 2" xfId="5178"/>
    <cellStyle name="Normal 13 6 3 3" xfId="5179"/>
    <cellStyle name="Normal 13 6 4" xfId="5180"/>
    <cellStyle name="Normal 13 6 4 2" xfId="5181"/>
    <cellStyle name="Normal 13 6 4 2 2" xfId="5182"/>
    <cellStyle name="Normal 13 6 4 3" xfId="5183"/>
    <cellStyle name="Normal 13 6 5" xfId="5184"/>
    <cellStyle name="Normal 13 6 5 2" xfId="5185"/>
    <cellStyle name="Normal 13 6 6" xfId="5186"/>
    <cellStyle name="Normal 13 6 7" xfId="5187"/>
    <cellStyle name="Normal 13 7" xfId="5188"/>
    <cellStyle name="Normal 13 7 2" xfId="5189"/>
    <cellStyle name="Normal 13 7 2 2" xfId="5190"/>
    <cellStyle name="Normal 13 7 2 2 2" xfId="5191"/>
    <cellStyle name="Normal 13 7 2 3" xfId="5192"/>
    <cellStyle name="Normal 13 7 3" xfId="5193"/>
    <cellStyle name="Normal 13 7 3 2" xfId="5194"/>
    <cellStyle name="Normal 13 7 3 2 2" xfId="5195"/>
    <cellStyle name="Normal 13 7 3 3" xfId="5196"/>
    <cellStyle name="Normal 13 7 4" xfId="5197"/>
    <cellStyle name="Normal 13 7 4 2" xfId="5198"/>
    <cellStyle name="Normal 13 7 5" xfId="5199"/>
    <cellStyle name="Normal 13 8" xfId="5200"/>
    <cellStyle name="Normal 13 8 2" xfId="5201"/>
    <cellStyle name="Normal 13 8 2 2" xfId="5202"/>
    <cellStyle name="Normal 13 8 3" xfId="5203"/>
    <cellStyle name="Normal 13 9" xfId="5204"/>
    <cellStyle name="Normal 13 9 2" xfId="5205"/>
    <cellStyle name="Normal 13 9 2 2" xfId="5206"/>
    <cellStyle name="Normal 13 9 3" xfId="5207"/>
    <cellStyle name="Normal 13_Recycling Tons" xfId="5208"/>
    <cellStyle name="Normal 130" xfId="5209"/>
    <cellStyle name="Normal 131" xfId="5210"/>
    <cellStyle name="Normal 132" xfId="5211"/>
    <cellStyle name="Normal 133" xfId="5212"/>
    <cellStyle name="Normal 134" xfId="5213"/>
    <cellStyle name="Normal 135" xfId="5214"/>
    <cellStyle name="Normal 136" xfId="5215"/>
    <cellStyle name="Normal 137" xfId="5216"/>
    <cellStyle name="Normal 138" xfId="5217"/>
    <cellStyle name="Normal 139" xfId="5218"/>
    <cellStyle name="Normal 14" xfId="5219"/>
    <cellStyle name="Normal 14 10" xfId="5220"/>
    <cellStyle name="Normal 14 11" xfId="5221"/>
    <cellStyle name="Normal 14 2" xfId="5222"/>
    <cellStyle name="Normal 14 2 2" xfId="5223"/>
    <cellStyle name="Normal 14 2 2 2" xfId="5224"/>
    <cellStyle name="Normal 14 2 2 2 2" xfId="5225"/>
    <cellStyle name="Normal 14 2 2 2 2 2" xfId="5226"/>
    <cellStyle name="Normal 14 2 2 2 2 2 2" xfId="5227"/>
    <cellStyle name="Normal 14 2 2 2 2 2 2 2" xfId="5228"/>
    <cellStyle name="Normal 14 2 2 2 2 2 3" xfId="5229"/>
    <cellStyle name="Normal 14 2 2 2 2 3" xfId="5230"/>
    <cellStyle name="Normal 14 2 2 2 2 3 2" xfId="5231"/>
    <cellStyle name="Normal 14 2 2 2 2 3 2 2" xfId="5232"/>
    <cellStyle name="Normal 14 2 2 2 2 3 3" xfId="5233"/>
    <cellStyle name="Normal 14 2 2 2 2 4" xfId="5234"/>
    <cellStyle name="Normal 14 2 2 2 2 4 2" xfId="5235"/>
    <cellStyle name="Normal 14 2 2 2 2 5" xfId="5236"/>
    <cellStyle name="Normal 14 2 2 2 3" xfId="5237"/>
    <cellStyle name="Normal 14 2 2 2 3 2" xfId="5238"/>
    <cellStyle name="Normal 14 2 2 2 3 2 2" xfId="5239"/>
    <cellStyle name="Normal 14 2 2 2 3 3" xfId="5240"/>
    <cellStyle name="Normal 14 2 2 2 4" xfId="5241"/>
    <cellStyle name="Normal 14 2 2 2 4 2" xfId="5242"/>
    <cellStyle name="Normal 14 2 2 2 4 2 2" xfId="5243"/>
    <cellStyle name="Normal 14 2 2 2 4 3" xfId="5244"/>
    <cellStyle name="Normal 14 2 2 2 5" xfId="5245"/>
    <cellStyle name="Normal 14 2 2 2 5 2" xfId="5246"/>
    <cellStyle name="Normal 14 2 2 2 6" xfId="5247"/>
    <cellStyle name="Normal 14 2 2 3" xfId="5248"/>
    <cellStyle name="Normal 14 2 2 3 2" xfId="5249"/>
    <cellStyle name="Normal 14 2 2 3 2 2" xfId="5250"/>
    <cellStyle name="Normal 14 2 2 3 2 2 2" xfId="5251"/>
    <cellStyle name="Normal 14 2 2 3 2 3" xfId="5252"/>
    <cellStyle name="Normal 14 2 2 3 3" xfId="5253"/>
    <cellStyle name="Normal 14 2 2 3 3 2" xfId="5254"/>
    <cellStyle name="Normal 14 2 2 3 3 2 2" xfId="5255"/>
    <cellStyle name="Normal 14 2 2 3 3 3" xfId="5256"/>
    <cellStyle name="Normal 14 2 2 3 4" xfId="5257"/>
    <cellStyle name="Normal 14 2 2 3 4 2" xfId="5258"/>
    <cellStyle name="Normal 14 2 2 3 5" xfId="5259"/>
    <cellStyle name="Normal 14 2 2 4" xfId="5260"/>
    <cellStyle name="Normal 14 2 2 4 2" xfId="5261"/>
    <cellStyle name="Normal 14 2 2 4 2 2" xfId="5262"/>
    <cellStyle name="Normal 14 2 2 4 3" xfId="5263"/>
    <cellStyle name="Normal 14 2 2 5" xfId="5264"/>
    <cellStyle name="Normal 14 2 2 5 2" xfId="5265"/>
    <cellStyle name="Normal 14 2 2 5 2 2" xfId="5266"/>
    <cellStyle name="Normal 14 2 2 5 3" xfId="5267"/>
    <cellStyle name="Normal 14 2 2 6" xfId="5268"/>
    <cellStyle name="Normal 14 2 2 6 2" xfId="5269"/>
    <cellStyle name="Normal 14 2 2 7" xfId="5270"/>
    <cellStyle name="Normal 14 2 2 8" xfId="5271"/>
    <cellStyle name="Normal 14 2 3" xfId="5272"/>
    <cellStyle name="Normal 14 2 3 2" xfId="5273"/>
    <cellStyle name="Normal 14 2 3 2 2" xfId="5274"/>
    <cellStyle name="Normal 14 2 3 2 2 2" xfId="5275"/>
    <cellStyle name="Normal 14 2 3 2 2 2 2" xfId="5276"/>
    <cellStyle name="Normal 14 2 3 2 2 3" xfId="5277"/>
    <cellStyle name="Normal 14 2 3 2 3" xfId="5278"/>
    <cellStyle name="Normal 14 2 3 2 3 2" xfId="5279"/>
    <cellStyle name="Normal 14 2 3 2 3 2 2" xfId="5280"/>
    <cellStyle name="Normal 14 2 3 2 3 3" xfId="5281"/>
    <cellStyle name="Normal 14 2 3 2 4" xfId="5282"/>
    <cellStyle name="Normal 14 2 3 2 4 2" xfId="5283"/>
    <cellStyle name="Normal 14 2 3 2 5" xfId="5284"/>
    <cellStyle name="Normal 14 2 3 3" xfId="5285"/>
    <cellStyle name="Normal 14 2 3 3 2" xfId="5286"/>
    <cellStyle name="Normal 14 2 3 3 2 2" xfId="5287"/>
    <cellStyle name="Normal 14 2 3 3 3" xfId="5288"/>
    <cellStyle name="Normal 14 2 3 4" xfId="5289"/>
    <cellStyle name="Normal 14 2 3 4 2" xfId="5290"/>
    <cellStyle name="Normal 14 2 3 4 2 2" xfId="5291"/>
    <cellStyle name="Normal 14 2 3 4 3" xfId="5292"/>
    <cellStyle name="Normal 14 2 3 5" xfId="5293"/>
    <cellStyle name="Normal 14 2 3 5 2" xfId="5294"/>
    <cellStyle name="Normal 14 2 3 6" xfId="5295"/>
    <cellStyle name="Normal 14 2 3 7" xfId="5296"/>
    <cellStyle name="Normal 14 2 4" xfId="5297"/>
    <cellStyle name="Normal 14 2 4 2" xfId="5298"/>
    <cellStyle name="Normal 14 2 4 2 2" xfId="5299"/>
    <cellStyle name="Normal 14 2 4 2 2 2" xfId="5300"/>
    <cellStyle name="Normal 14 2 4 2 3" xfId="5301"/>
    <cellStyle name="Normal 14 2 4 3" xfId="5302"/>
    <cellStyle name="Normal 14 2 4 3 2" xfId="5303"/>
    <cellStyle name="Normal 14 2 4 3 2 2" xfId="5304"/>
    <cellStyle name="Normal 14 2 4 3 3" xfId="5305"/>
    <cellStyle name="Normal 14 2 4 4" xfId="5306"/>
    <cellStyle name="Normal 14 2 4 4 2" xfId="5307"/>
    <cellStyle name="Normal 14 2 4 5" xfId="5308"/>
    <cellStyle name="Normal 14 2 5" xfId="5309"/>
    <cellStyle name="Normal 14 2 5 2" xfId="5310"/>
    <cellStyle name="Normal 14 2 5 2 2" xfId="5311"/>
    <cellStyle name="Normal 14 2 5 3" xfId="5312"/>
    <cellStyle name="Normal 14 2 6" xfId="5313"/>
    <cellStyle name="Normal 14 2 6 2" xfId="5314"/>
    <cellStyle name="Normal 14 2 6 2 2" xfId="5315"/>
    <cellStyle name="Normal 14 2 6 3" xfId="5316"/>
    <cellStyle name="Normal 14 2 7" xfId="5317"/>
    <cellStyle name="Normal 14 2 7 2" xfId="5318"/>
    <cellStyle name="Normal 14 2 8" xfId="5319"/>
    <cellStyle name="Normal 14 3" xfId="5320"/>
    <cellStyle name="Normal 14 3 10" xfId="5321"/>
    <cellStyle name="Normal 14 3 2" xfId="5322"/>
    <cellStyle name="Normal 14 3 2 2" xfId="5323"/>
    <cellStyle name="Normal 14 3 2 2 2" xfId="5324"/>
    <cellStyle name="Normal 14 3 2 2 2 2" xfId="5325"/>
    <cellStyle name="Normal 14 3 2 2 2 2 2" xfId="5326"/>
    <cellStyle name="Normal 14 3 2 2 2 2 2 2" xfId="5327"/>
    <cellStyle name="Normal 14 3 2 2 2 2 3" xfId="5328"/>
    <cellStyle name="Normal 14 3 2 2 2 3" xfId="5329"/>
    <cellStyle name="Normal 14 3 2 2 2 3 2" xfId="5330"/>
    <cellStyle name="Normal 14 3 2 2 2 3 2 2" xfId="5331"/>
    <cellStyle name="Normal 14 3 2 2 2 3 3" xfId="5332"/>
    <cellStyle name="Normal 14 3 2 2 2 4" xfId="5333"/>
    <cellStyle name="Normal 14 3 2 2 2 4 2" xfId="5334"/>
    <cellStyle name="Normal 14 3 2 2 2 5" xfId="5335"/>
    <cellStyle name="Normal 14 3 2 2 3" xfId="5336"/>
    <cellStyle name="Normal 14 3 2 2 3 2" xfId="5337"/>
    <cellStyle name="Normal 14 3 2 2 3 2 2" xfId="5338"/>
    <cellStyle name="Normal 14 3 2 2 3 3" xfId="5339"/>
    <cellStyle name="Normal 14 3 2 2 4" xfId="5340"/>
    <cellStyle name="Normal 14 3 2 2 4 2" xfId="5341"/>
    <cellStyle name="Normal 14 3 2 2 4 2 2" xfId="5342"/>
    <cellStyle name="Normal 14 3 2 2 4 3" xfId="5343"/>
    <cellStyle name="Normal 14 3 2 2 5" xfId="5344"/>
    <cellStyle name="Normal 14 3 2 2 5 2" xfId="5345"/>
    <cellStyle name="Normal 14 3 2 2 6" xfId="5346"/>
    <cellStyle name="Normal 14 3 2 3" xfId="5347"/>
    <cellStyle name="Normal 14 3 2 3 2" xfId="5348"/>
    <cellStyle name="Normal 14 3 2 3 2 2" xfId="5349"/>
    <cellStyle name="Normal 14 3 2 3 2 2 2" xfId="5350"/>
    <cellStyle name="Normal 14 3 2 3 2 3" xfId="5351"/>
    <cellStyle name="Normal 14 3 2 3 3" xfId="5352"/>
    <cellStyle name="Normal 14 3 2 3 3 2" xfId="5353"/>
    <cellStyle name="Normal 14 3 2 3 3 2 2" xfId="5354"/>
    <cellStyle name="Normal 14 3 2 3 3 3" xfId="5355"/>
    <cellStyle name="Normal 14 3 2 3 4" xfId="5356"/>
    <cellStyle name="Normal 14 3 2 3 4 2" xfId="5357"/>
    <cellStyle name="Normal 14 3 2 3 5" xfId="5358"/>
    <cellStyle name="Normal 14 3 2 4" xfId="5359"/>
    <cellStyle name="Normal 14 3 2 4 2" xfId="5360"/>
    <cellStyle name="Normal 14 3 2 4 2 2" xfId="5361"/>
    <cellStyle name="Normal 14 3 2 4 3" xfId="5362"/>
    <cellStyle name="Normal 14 3 2 5" xfId="5363"/>
    <cellStyle name="Normal 14 3 2 5 2" xfId="5364"/>
    <cellStyle name="Normal 14 3 2 5 2 2" xfId="5365"/>
    <cellStyle name="Normal 14 3 2 5 3" xfId="5366"/>
    <cellStyle name="Normal 14 3 2 6" xfId="5367"/>
    <cellStyle name="Normal 14 3 2 6 2" xfId="5368"/>
    <cellStyle name="Normal 14 3 2 7" xfId="5369"/>
    <cellStyle name="Normal 14 3 3" xfId="5370"/>
    <cellStyle name="Normal 14 3 3 2" xfId="5371"/>
    <cellStyle name="Normal 14 3 3 2 2" xfId="5372"/>
    <cellStyle name="Normal 14 3 3 2 2 2" xfId="5373"/>
    <cellStyle name="Normal 14 3 3 2 2 2 2" xfId="5374"/>
    <cellStyle name="Normal 14 3 3 2 2 3" xfId="5375"/>
    <cellStyle name="Normal 14 3 3 2 3" xfId="5376"/>
    <cellStyle name="Normal 14 3 3 2 3 2" xfId="5377"/>
    <cellStyle name="Normal 14 3 3 2 3 2 2" xfId="5378"/>
    <cellStyle name="Normal 14 3 3 2 3 3" xfId="5379"/>
    <cellStyle name="Normal 14 3 3 2 4" xfId="5380"/>
    <cellStyle name="Normal 14 3 3 2 4 2" xfId="5381"/>
    <cellStyle name="Normal 14 3 3 2 5" xfId="5382"/>
    <cellStyle name="Normal 14 3 3 3" xfId="5383"/>
    <cellStyle name="Normal 14 3 3 3 2" xfId="5384"/>
    <cellStyle name="Normal 14 3 3 3 2 2" xfId="5385"/>
    <cellStyle name="Normal 14 3 3 3 3" xfId="5386"/>
    <cellStyle name="Normal 14 3 3 4" xfId="5387"/>
    <cellStyle name="Normal 14 3 3 4 2" xfId="5388"/>
    <cellStyle name="Normal 14 3 3 4 2 2" xfId="5389"/>
    <cellStyle name="Normal 14 3 3 4 3" xfId="5390"/>
    <cellStyle name="Normal 14 3 3 5" xfId="5391"/>
    <cellStyle name="Normal 14 3 3 5 2" xfId="5392"/>
    <cellStyle name="Normal 14 3 3 6" xfId="5393"/>
    <cellStyle name="Normal 14 3 4" xfId="5394"/>
    <cellStyle name="Normal 14 3 4 2" xfId="5395"/>
    <cellStyle name="Normal 14 3 4 2 2" xfId="5396"/>
    <cellStyle name="Normal 14 3 4 2 2 2" xfId="5397"/>
    <cellStyle name="Normal 14 3 4 2 3" xfId="5398"/>
    <cellStyle name="Normal 14 3 4 3" xfId="5399"/>
    <cellStyle name="Normal 14 3 4 3 2" xfId="5400"/>
    <cellStyle name="Normal 14 3 4 3 2 2" xfId="5401"/>
    <cellStyle name="Normal 14 3 4 3 3" xfId="5402"/>
    <cellStyle name="Normal 14 3 4 4" xfId="5403"/>
    <cellStyle name="Normal 14 3 4 4 2" xfId="5404"/>
    <cellStyle name="Normal 14 3 4 5" xfId="5405"/>
    <cellStyle name="Normal 14 3 5" xfId="5406"/>
    <cellStyle name="Normal 14 3 5 2" xfId="5407"/>
    <cellStyle name="Normal 14 3 5 2 2" xfId="5408"/>
    <cellStyle name="Normal 14 3 5 3" xfId="5409"/>
    <cellStyle name="Normal 14 3 6" xfId="5410"/>
    <cellStyle name="Normal 14 3 6 2" xfId="5411"/>
    <cellStyle name="Normal 14 3 6 2 2" xfId="5412"/>
    <cellStyle name="Normal 14 3 6 3" xfId="5413"/>
    <cellStyle name="Normal 14 3 7" xfId="5414"/>
    <cellStyle name="Normal 14 3 7 2" xfId="5415"/>
    <cellStyle name="Normal 14 3 8" xfId="5416"/>
    <cellStyle name="Normal 14 3 8 2" xfId="5417"/>
    <cellStyle name="Normal 14 3 9" xfId="5418"/>
    <cellStyle name="Normal 14 4" xfId="5419"/>
    <cellStyle name="Normal 14 4 2" xfId="5420"/>
    <cellStyle name="Normal 14 4 2 2" xfId="5421"/>
    <cellStyle name="Normal 14 4 2 2 2" xfId="5422"/>
    <cellStyle name="Normal 14 4 2 2 2 2" xfId="5423"/>
    <cellStyle name="Normal 14 4 2 2 2 2 2" xfId="5424"/>
    <cellStyle name="Normal 14 4 2 2 2 3" xfId="5425"/>
    <cellStyle name="Normal 14 4 2 2 3" xfId="5426"/>
    <cellStyle name="Normal 14 4 2 2 3 2" xfId="5427"/>
    <cellStyle name="Normal 14 4 2 2 3 2 2" xfId="5428"/>
    <cellStyle name="Normal 14 4 2 2 3 3" xfId="5429"/>
    <cellStyle name="Normal 14 4 2 2 4" xfId="5430"/>
    <cellStyle name="Normal 14 4 2 2 4 2" xfId="5431"/>
    <cellStyle name="Normal 14 4 2 2 5" xfId="5432"/>
    <cellStyle name="Normal 14 4 2 3" xfId="5433"/>
    <cellStyle name="Normal 14 4 2 3 2" xfId="5434"/>
    <cellStyle name="Normal 14 4 2 3 2 2" xfId="5435"/>
    <cellStyle name="Normal 14 4 2 3 3" xfId="5436"/>
    <cellStyle name="Normal 14 4 2 4" xfId="5437"/>
    <cellStyle name="Normal 14 4 2 4 2" xfId="5438"/>
    <cellStyle name="Normal 14 4 2 4 2 2" xfId="5439"/>
    <cellStyle name="Normal 14 4 2 4 3" xfId="5440"/>
    <cellStyle name="Normal 14 4 2 5" xfId="5441"/>
    <cellStyle name="Normal 14 4 2 5 2" xfId="5442"/>
    <cellStyle name="Normal 14 4 2 6" xfId="5443"/>
    <cellStyle name="Normal 14 4 3" xfId="5444"/>
    <cellStyle name="Normal 14 4 3 2" xfId="5445"/>
    <cellStyle name="Normal 14 4 3 2 2" xfId="5446"/>
    <cellStyle name="Normal 14 4 3 2 2 2" xfId="5447"/>
    <cellStyle name="Normal 14 4 3 2 3" xfId="5448"/>
    <cellStyle name="Normal 14 4 3 3" xfId="5449"/>
    <cellStyle name="Normal 14 4 3 3 2" xfId="5450"/>
    <cellStyle name="Normal 14 4 3 3 2 2" xfId="5451"/>
    <cellStyle name="Normal 14 4 3 3 3" xfId="5452"/>
    <cellStyle name="Normal 14 4 3 4" xfId="5453"/>
    <cellStyle name="Normal 14 4 3 4 2" xfId="5454"/>
    <cellStyle name="Normal 14 4 3 5" xfId="5455"/>
    <cellStyle name="Normal 14 4 4" xfId="5456"/>
    <cellStyle name="Normal 14 4 4 2" xfId="5457"/>
    <cellStyle name="Normal 14 4 4 2 2" xfId="5458"/>
    <cellStyle name="Normal 14 4 4 3" xfId="5459"/>
    <cellStyle name="Normal 14 4 5" xfId="5460"/>
    <cellStyle name="Normal 14 4 5 2" xfId="5461"/>
    <cellStyle name="Normal 14 4 5 2 2" xfId="5462"/>
    <cellStyle name="Normal 14 4 5 3" xfId="5463"/>
    <cellStyle name="Normal 14 4 6" xfId="5464"/>
    <cellStyle name="Normal 14 4 6 2" xfId="5465"/>
    <cellStyle name="Normal 14 4 7" xfId="5466"/>
    <cellStyle name="Normal 14 4 8" xfId="5467"/>
    <cellStyle name="Normal 14 5" xfId="5468"/>
    <cellStyle name="Normal 14 5 2" xfId="5469"/>
    <cellStyle name="Normal 14 5 2 2" xfId="5470"/>
    <cellStyle name="Normal 14 5 2 2 2" xfId="5471"/>
    <cellStyle name="Normal 14 5 2 2 2 2" xfId="5472"/>
    <cellStyle name="Normal 14 5 2 2 3" xfId="5473"/>
    <cellStyle name="Normal 14 5 2 3" xfId="5474"/>
    <cellStyle name="Normal 14 5 2 3 2" xfId="5475"/>
    <cellStyle name="Normal 14 5 2 3 2 2" xfId="5476"/>
    <cellStyle name="Normal 14 5 2 3 3" xfId="5477"/>
    <cellStyle name="Normal 14 5 2 4" xfId="5478"/>
    <cellStyle name="Normal 14 5 2 4 2" xfId="5479"/>
    <cellStyle name="Normal 14 5 2 5" xfId="5480"/>
    <cellStyle name="Normal 14 5 3" xfId="5481"/>
    <cellStyle name="Normal 14 5 3 2" xfId="5482"/>
    <cellStyle name="Normal 14 5 3 2 2" xfId="5483"/>
    <cellStyle name="Normal 14 5 3 3" xfId="5484"/>
    <cellStyle name="Normal 14 5 4" xfId="5485"/>
    <cellStyle name="Normal 14 5 4 2" xfId="5486"/>
    <cellStyle name="Normal 14 5 4 2 2" xfId="5487"/>
    <cellStyle name="Normal 14 5 4 3" xfId="5488"/>
    <cellStyle name="Normal 14 5 5" xfId="5489"/>
    <cellStyle name="Normal 14 5 5 2" xfId="5490"/>
    <cellStyle name="Normal 14 5 6" xfId="5491"/>
    <cellStyle name="Normal 14 5 7" xfId="5492"/>
    <cellStyle name="Normal 14 6" xfId="5493"/>
    <cellStyle name="Normal 14 6 2" xfId="5494"/>
    <cellStyle name="Normal 14 6 2 2" xfId="5495"/>
    <cellStyle name="Normal 14 6 2 2 2" xfId="5496"/>
    <cellStyle name="Normal 14 6 2 3" xfId="5497"/>
    <cellStyle name="Normal 14 6 3" xfId="5498"/>
    <cellStyle name="Normal 14 6 3 2" xfId="5499"/>
    <cellStyle name="Normal 14 6 3 2 2" xfId="5500"/>
    <cellStyle name="Normal 14 6 3 3" xfId="5501"/>
    <cellStyle name="Normal 14 6 4" xfId="5502"/>
    <cellStyle name="Normal 14 6 4 2" xfId="5503"/>
    <cellStyle name="Normal 14 6 5" xfId="5504"/>
    <cellStyle name="Normal 14 7" xfId="5505"/>
    <cellStyle name="Normal 14 7 2" xfId="5506"/>
    <cellStyle name="Normal 14 7 2 2" xfId="5507"/>
    <cellStyle name="Normal 14 7 3" xfId="5508"/>
    <cellStyle name="Normal 14 8" xfId="5509"/>
    <cellStyle name="Normal 14 8 2" xfId="5510"/>
    <cellStyle name="Normal 14 8 2 2" xfId="5511"/>
    <cellStyle name="Normal 14 8 3" xfId="5512"/>
    <cellStyle name="Normal 14 9" xfId="5513"/>
    <cellStyle name="Normal 14 9 2" xfId="5514"/>
    <cellStyle name="Normal 14_Recycling Tons" xfId="5515"/>
    <cellStyle name="Normal 140" xfId="5516"/>
    <cellStyle name="Normal 141" xfId="5517"/>
    <cellStyle name="Normal 142" xfId="5518"/>
    <cellStyle name="Normal 143" xfId="5519"/>
    <cellStyle name="Normal 144" xfId="5520"/>
    <cellStyle name="Normal 15" xfId="5521"/>
    <cellStyle name="Normal 15 2" xfId="5522"/>
    <cellStyle name="Normal 15 2 2" xfId="5523"/>
    <cellStyle name="Normal 15 2 2 2" xfId="5524"/>
    <cellStyle name="Normal 15 2 2 2 2" xfId="5525"/>
    <cellStyle name="Normal 15 2 2 3" xfId="5526"/>
    <cellStyle name="Normal 15 2 3" xfId="5527"/>
    <cellStyle name="Normal 15 2 3 2" xfId="5528"/>
    <cellStyle name="Normal 15 2 4" xfId="5529"/>
    <cellStyle name="Normal 15 3" xfId="5530"/>
    <cellStyle name="Normal 15 3 2" xfId="5531"/>
    <cellStyle name="Normal 15 3 2 2" xfId="5532"/>
    <cellStyle name="Normal 15 3 3" xfId="5533"/>
    <cellStyle name="Normal 15 3 3 2" xfId="5534"/>
    <cellStyle name="Normal 15 3 4" xfId="5535"/>
    <cellStyle name="Normal 15 3 5" xfId="5536"/>
    <cellStyle name="Normal 15 4" xfId="5537"/>
    <cellStyle name="Normal 15 4 2" xfId="5538"/>
    <cellStyle name="Normal 15 4 2 2" xfId="5539"/>
    <cellStyle name="Normal 15 4 3" xfId="5540"/>
    <cellStyle name="Normal 15 4 4" xfId="5541"/>
    <cellStyle name="Normal 15 5" xfId="5542"/>
    <cellStyle name="Normal 15 5 2" xfId="5543"/>
    <cellStyle name="Normal 15 5 3" xfId="5544"/>
    <cellStyle name="Normal 15 6" xfId="5545"/>
    <cellStyle name="Normal 15 7" xfId="5546"/>
    <cellStyle name="Normal 15_Recycling Tons" xfId="5547"/>
    <cellStyle name="Normal 16" xfId="5548"/>
    <cellStyle name="Normal 16 10" xfId="5549"/>
    <cellStyle name="Normal 16 11" xfId="5550"/>
    <cellStyle name="Normal 16 2" xfId="5551"/>
    <cellStyle name="Normal 16 2 2" xfId="5552"/>
    <cellStyle name="Normal 16 2 2 2" xfId="5553"/>
    <cellStyle name="Normal 16 2 2 2 2" xfId="5554"/>
    <cellStyle name="Normal 16 2 2 3" xfId="5555"/>
    <cellStyle name="Normal 16 2 3" xfId="5556"/>
    <cellStyle name="Normal 16 2 3 2" xfId="5557"/>
    <cellStyle name="Normal 16 2 4" xfId="5558"/>
    <cellStyle name="Normal 16 3" xfId="5559"/>
    <cellStyle name="Normal 16 3 10" xfId="5560"/>
    <cellStyle name="Normal 16 3 2" xfId="5561"/>
    <cellStyle name="Normal 16 3 2 2" xfId="5562"/>
    <cellStyle name="Normal 16 3 2 2 2" xfId="5563"/>
    <cellStyle name="Normal 16 3 2 2 2 2" xfId="5564"/>
    <cellStyle name="Normal 16 3 2 2 2 2 2" xfId="5565"/>
    <cellStyle name="Normal 16 3 2 2 2 2 2 2" xfId="5566"/>
    <cellStyle name="Normal 16 3 2 2 2 2 3" xfId="5567"/>
    <cellStyle name="Normal 16 3 2 2 2 3" xfId="5568"/>
    <cellStyle name="Normal 16 3 2 2 2 3 2" xfId="5569"/>
    <cellStyle name="Normal 16 3 2 2 2 3 2 2" xfId="5570"/>
    <cellStyle name="Normal 16 3 2 2 2 3 3" xfId="5571"/>
    <cellStyle name="Normal 16 3 2 2 2 4" xfId="5572"/>
    <cellStyle name="Normal 16 3 2 2 2 4 2" xfId="5573"/>
    <cellStyle name="Normal 16 3 2 2 2 5" xfId="5574"/>
    <cellStyle name="Normal 16 3 2 2 3" xfId="5575"/>
    <cellStyle name="Normal 16 3 2 2 3 2" xfId="5576"/>
    <cellStyle name="Normal 16 3 2 2 3 2 2" xfId="5577"/>
    <cellStyle name="Normal 16 3 2 2 3 3" xfId="5578"/>
    <cellStyle name="Normal 16 3 2 2 4" xfId="5579"/>
    <cellStyle name="Normal 16 3 2 2 4 2" xfId="5580"/>
    <cellStyle name="Normal 16 3 2 2 4 2 2" xfId="5581"/>
    <cellStyle name="Normal 16 3 2 2 4 3" xfId="5582"/>
    <cellStyle name="Normal 16 3 2 2 5" xfId="5583"/>
    <cellStyle name="Normal 16 3 2 2 5 2" xfId="5584"/>
    <cellStyle name="Normal 16 3 2 2 6" xfId="5585"/>
    <cellStyle name="Normal 16 3 2 3" xfId="5586"/>
    <cellStyle name="Normal 16 3 2 3 2" xfId="5587"/>
    <cellStyle name="Normal 16 3 2 3 2 2" xfId="5588"/>
    <cellStyle name="Normal 16 3 2 3 2 2 2" xfId="5589"/>
    <cellStyle name="Normal 16 3 2 3 2 3" xfId="5590"/>
    <cellStyle name="Normal 16 3 2 3 3" xfId="5591"/>
    <cellStyle name="Normal 16 3 2 3 3 2" xfId="5592"/>
    <cellStyle name="Normal 16 3 2 3 3 2 2" xfId="5593"/>
    <cellStyle name="Normal 16 3 2 3 3 3" xfId="5594"/>
    <cellStyle name="Normal 16 3 2 3 4" xfId="5595"/>
    <cellStyle name="Normal 16 3 2 3 4 2" xfId="5596"/>
    <cellStyle name="Normal 16 3 2 3 5" xfId="5597"/>
    <cellStyle name="Normal 16 3 2 4" xfId="5598"/>
    <cellStyle name="Normal 16 3 2 4 2" xfId="5599"/>
    <cellStyle name="Normal 16 3 2 4 2 2" xfId="5600"/>
    <cellStyle name="Normal 16 3 2 4 3" xfId="5601"/>
    <cellStyle name="Normal 16 3 2 5" xfId="5602"/>
    <cellStyle name="Normal 16 3 2 5 2" xfId="5603"/>
    <cellStyle name="Normal 16 3 2 5 2 2" xfId="5604"/>
    <cellStyle name="Normal 16 3 2 5 3" xfId="5605"/>
    <cellStyle name="Normal 16 3 2 6" xfId="5606"/>
    <cellStyle name="Normal 16 3 2 6 2" xfId="5607"/>
    <cellStyle name="Normal 16 3 2 7" xfId="5608"/>
    <cellStyle name="Normal 16 3 3" xfId="5609"/>
    <cellStyle name="Normal 16 3 3 2" xfId="5610"/>
    <cellStyle name="Normal 16 3 3 2 2" xfId="5611"/>
    <cellStyle name="Normal 16 3 3 2 2 2" xfId="5612"/>
    <cellStyle name="Normal 16 3 3 2 2 2 2" xfId="5613"/>
    <cellStyle name="Normal 16 3 3 2 2 3" xfId="5614"/>
    <cellStyle name="Normal 16 3 3 2 3" xfId="5615"/>
    <cellStyle name="Normal 16 3 3 2 3 2" xfId="5616"/>
    <cellStyle name="Normal 16 3 3 2 3 2 2" xfId="5617"/>
    <cellStyle name="Normal 16 3 3 2 3 3" xfId="5618"/>
    <cellStyle name="Normal 16 3 3 2 4" xfId="5619"/>
    <cellStyle name="Normal 16 3 3 2 4 2" xfId="5620"/>
    <cellStyle name="Normal 16 3 3 2 5" xfId="5621"/>
    <cellStyle name="Normal 16 3 3 3" xfId="5622"/>
    <cellStyle name="Normal 16 3 3 3 2" xfId="5623"/>
    <cellStyle name="Normal 16 3 3 3 2 2" xfId="5624"/>
    <cellStyle name="Normal 16 3 3 3 3" xfId="5625"/>
    <cellStyle name="Normal 16 3 3 4" xfId="5626"/>
    <cellStyle name="Normal 16 3 3 4 2" xfId="5627"/>
    <cellStyle name="Normal 16 3 3 4 2 2" xfId="5628"/>
    <cellStyle name="Normal 16 3 3 4 3" xfId="5629"/>
    <cellStyle name="Normal 16 3 3 5" xfId="5630"/>
    <cellStyle name="Normal 16 3 3 5 2" xfId="5631"/>
    <cellStyle name="Normal 16 3 3 6" xfId="5632"/>
    <cellStyle name="Normal 16 3 4" xfId="5633"/>
    <cellStyle name="Normal 16 3 4 2" xfId="5634"/>
    <cellStyle name="Normal 16 3 4 2 2" xfId="5635"/>
    <cellStyle name="Normal 16 3 4 2 2 2" xfId="5636"/>
    <cellStyle name="Normal 16 3 4 2 3" xfId="5637"/>
    <cellStyle name="Normal 16 3 4 3" xfId="5638"/>
    <cellStyle name="Normal 16 3 4 3 2" xfId="5639"/>
    <cellStyle name="Normal 16 3 4 3 2 2" xfId="5640"/>
    <cellStyle name="Normal 16 3 4 3 3" xfId="5641"/>
    <cellStyle name="Normal 16 3 4 4" xfId="5642"/>
    <cellStyle name="Normal 16 3 4 4 2" xfId="5643"/>
    <cellStyle name="Normal 16 3 4 5" xfId="5644"/>
    <cellStyle name="Normal 16 3 5" xfId="5645"/>
    <cellStyle name="Normal 16 3 5 2" xfId="5646"/>
    <cellStyle name="Normal 16 3 5 2 2" xfId="5647"/>
    <cellStyle name="Normal 16 3 5 3" xfId="5648"/>
    <cellStyle name="Normal 16 3 6" xfId="5649"/>
    <cellStyle name="Normal 16 3 6 2" xfId="5650"/>
    <cellStyle name="Normal 16 3 6 2 2" xfId="5651"/>
    <cellStyle name="Normal 16 3 6 3" xfId="5652"/>
    <cellStyle name="Normal 16 3 7" xfId="5653"/>
    <cellStyle name="Normal 16 3 7 2" xfId="5654"/>
    <cellStyle name="Normal 16 3 8" xfId="5655"/>
    <cellStyle name="Normal 16 3 8 2" xfId="5656"/>
    <cellStyle name="Normal 16 3 9" xfId="5657"/>
    <cellStyle name="Normal 16 4" xfId="5658"/>
    <cellStyle name="Normal 16 4 2" xfId="5659"/>
    <cellStyle name="Normal 16 4 2 2" xfId="5660"/>
    <cellStyle name="Normal 16 4 2 2 2" xfId="5661"/>
    <cellStyle name="Normal 16 4 2 2 2 2" xfId="5662"/>
    <cellStyle name="Normal 16 4 2 2 2 2 2" xfId="5663"/>
    <cellStyle name="Normal 16 4 2 2 2 3" xfId="5664"/>
    <cellStyle name="Normal 16 4 2 2 3" xfId="5665"/>
    <cellStyle name="Normal 16 4 2 2 3 2" xfId="5666"/>
    <cellStyle name="Normal 16 4 2 2 3 2 2" xfId="5667"/>
    <cellStyle name="Normal 16 4 2 2 3 3" xfId="5668"/>
    <cellStyle name="Normal 16 4 2 2 4" xfId="5669"/>
    <cellStyle name="Normal 16 4 2 2 4 2" xfId="5670"/>
    <cellStyle name="Normal 16 4 2 2 5" xfId="5671"/>
    <cellStyle name="Normal 16 4 2 3" xfId="5672"/>
    <cellStyle name="Normal 16 4 2 3 2" xfId="5673"/>
    <cellStyle name="Normal 16 4 2 3 2 2" xfId="5674"/>
    <cellStyle name="Normal 16 4 2 3 3" xfId="5675"/>
    <cellStyle name="Normal 16 4 2 4" xfId="5676"/>
    <cellStyle name="Normal 16 4 2 4 2" xfId="5677"/>
    <cellStyle name="Normal 16 4 2 4 2 2" xfId="5678"/>
    <cellStyle name="Normal 16 4 2 4 3" xfId="5679"/>
    <cellStyle name="Normal 16 4 2 5" xfId="5680"/>
    <cellStyle name="Normal 16 4 2 5 2" xfId="5681"/>
    <cellStyle name="Normal 16 4 2 6" xfId="5682"/>
    <cellStyle name="Normal 16 4 3" xfId="5683"/>
    <cellStyle name="Normal 16 4 3 2" xfId="5684"/>
    <cellStyle name="Normal 16 4 3 2 2" xfId="5685"/>
    <cellStyle name="Normal 16 4 3 2 2 2" xfId="5686"/>
    <cellStyle name="Normal 16 4 3 2 3" xfId="5687"/>
    <cellStyle name="Normal 16 4 3 3" xfId="5688"/>
    <cellStyle name="Normal 16 4 3 3 2" xfId="5689"/>
    <cellStyle name="Normal 16 4 3 3 2 2" xfId="5690"/>
    <cellStyle name="Normal 16 4 3 3 3" xfId="5691"/>
    <cellStyle name="Normal 16 4 3 4" xfId="5692"/>
    <cellStyle name="Normal 16 4 3 4 2" xfId="5693"/>
    <cellStyle name="Normal 16 4 3 5" xfId="5694"/>
    <cellStyle name="Normal 16 4 4" xfId="5695"/>
    <cellStyle name="Normal 16 4 4 2" xfId="5696"/>
    <cellStyle name="Normal 16 4 4 2 2" xfId="5697"/>
    <cellStyle name="Normal 16 4 4 3" xfId="5698"/>
    <cellStyle name="Normal 16 4 5" xfId="5699"/>
    <cellStyle name="Normal 16 4 5 2" xfId="5700"/>
    <cellStyle name="Normal 16 4 5 2 2" xfId="5701"/>
    <cellStyle name="Normal 16 4 5 3" xfId="5702"/>
    <cellStyle name="Normal 16 4 6" xfId="5703"/>
    <cellStyle name="Normal 16 4 6 2" xfId="5704"/>
    <cellStyle name="Normal 16 4 7" xfId="5705"/>
    <cellStyle name="Normal 16 4 8" xfId="5706"/>
    <cellStyle name="Normal 16 5" xfId="5707"/>
    <cellStyle name="Normal 16 5 2" xfId="5708"/>
    <cellStyle name="Normal 16 5 2 2" xfId="5709"/>
    <cellStyle name="Normal 16 5 2 2 2" xfId="5710"/>
    <cellStyle name="Normal 16 5 2 2 2 2" xfId="5711"/>
    <cellStyle name="Normal 16 5 2 2 3" xfId="5712"/>
    <cellStyle name="Normal 16 5 2 3" xfId="5713"/>
    <cellStyle name="Normal 16 5 2 3 2" xfId="5714"/>
    <cellStyle name="Normal 16 5 2 3 2 2" xfId="5715"/>
    <cellStyle name="Normal 16 5 2 3 3" xfId="5716"/>
    <cellStyle name="Normal 16 5 2 4" xfId="5717"/>
    <cellStyle name="Normal 16 5 2 4 2" xfId="5718"/>
    <cellStyle name="Normal 16 5 2 5" xfId="5719"/>
    <cellStyle name="Normal 16 5 3" xfId="5720"/>
    <cellStyle name="Normal 16 5 3 2" xfId="5721"/>
    <cellStyle name="Normal 16 5 3 2 2" xfId="5722"/>
    <cellStyle name="Normal 16 5 3 3" xfId="5723"/>
    <cellStyle name="Normal 16 5 4" xfId="5724"/>
    <cellStyle name="Normal 16 5 4 2" xfId="5725"/>
    <cellStyle name="Normal 16 5 4 2 2" xfId="5726"/>
    <cellStyle name="Normal 16 5 4 3" xfId="5727"/>
    <cellStyle name="Normal 16 5 5" xfId="5728"/>
    <cellStyle name="Normal 16 5 5 2" xfId="5729"/>
    <cellStyle name="Normal 16 5 6" xfId="5730"/>
    <cellStyle name="Normal 16 6" xfId="5731"/>
    <cellStyle name="Normal 16 6 2" xfId="5732"/>
    <cellStyle name="Normal 16 6 2 2" xfId="5733"/>
    <cellStyle name="Normal 16 6 2 2 2" xfId="5734"/>
    <cellStyle name="Normal 16 6 2 3" xfId="5735"/>
    <cellStyle name="Normal 16 6 3" xfId="5736"/>
    <cellStyle name="Normal 16 6 3 2" xfId="5737"/>
    <cellStyle name="Normal 16 6 3 2 2" xfId="5738"/>
    <cellStyle name="Normal 16 6 3 3" xfId="5739"/>
    <cellStyle name="Normal 16 6 4" xfId="5740"/>
    <cellStyle name="Normal 16 6 4 2" xfId="5741"/>
    <cellStyle name="Normal 16 6 5" xfId="5742"/>
    <cellStyle name="Normal 16 7" xfId="5743"/>
    <cellStyle name="Normal 16 7 2" xfId="5744"/>
    <cellStyle name="Normal 16 7 2 2" xfId="5745"/>
    <cellStyle name="Normal 16 7 3" xfId="5746"/>
    <cellStyle name="Normal 16 8" xfId="5747"/>
    <cellStyle name="Normal 16 8 2" xfId="5748"/>
    <cellStyle name="Normal 16 8 2 2" xfId="5749"/>
    <cellStyle name="Normal 16 8 3" xfId="5750"/>
    <cellStyle name="Normal 16 9" xfId="5751"/>
    <cellStyle name="Normal 16 9 2" xfId="5752"/>
    <cellStyle name="Normal 17" xfId="5753"/>
    <cellStyle name="Normal 17 2" xfId="5754"/>
    <cellStyle name="Normal 17 2 2" xfId="5755"/>
    <cellStyle name="Normal 17 2 2 2" xfId="5756"/>
    <cellStyle name="Normal 17 2 2 2 2" xfId="5757"/>
    <cellStyle name="Normal 17 2 2 3" xfId="5758"/>
    <cellStyle name="Normal 17 2 3" xfId="5759"/>
    <cellStyle name="Normal 17 2 3 2" xfId="5760"/>
    <cellStyle name="Normal 17 2 4" xfId="5761"/>
    <cellStyle name="Normal 17 3" xfId="5762"/>
    <cellStyle name="Normal 17 3 2" xfId="5763"/>
    <cellStyle name="Normal 17 3 2 2" xfId="5764"/>
    <cellStyle name="Normal 17 3 3" xfId="5765"/>
    <cellStyle name="Normal 17 3 3 2" xfId="5766"/>
    <cellStyle name="Normal 17 3 4" xfId="5767"/>
    <cellStyle name="Normal 17 3 5" xfId="5768"/>
    <cellStyle name="Normal 17 4" xfId="5769"/>
    <cellStyle name="Normal 17 4 2" xfId="5770"/>
    <cellStyle name="Normal 17 4 3" xfId="5771"/>
    <cellStyle name="Normal 17 5" xfId="5772"/>
    <cellStyle name="Normal 17 6" xfId="5773"/>
    <cellStyle name="Normal 18" xfId="5774"/>
    <cellStyle name="Normal 18 10" xfId="5775"/>
    <cellStyle name="Normal 18 10 2" xfId="5776"/>
    <cellStyle name="Normal 18 11" xfId="5777"/>
    <cellStyle name="Normal 18 12" xfId="5778"/>
    <cellStyle name="Normal 18 2" xfId="5779"/>
    <cellStyle name="Normal 18 2 2" xfId="5780"/>
    <cellStyle name="Normal 18 2 2 2" xfId="5781"/>
    <cellStyle name="Normal 18 2 2 2 2" xfId="5782"/>
    <cellStyle name="Normal 18 2 2 2 2 2" xfId="5783"/>
    <cellStyle name="Normal 18 2 2 2 2 2 2" xfId="5784"/>
    <cellStyle name="Normal 18 2 2 2 2 2 2 2" xfId="5785"/>
    <cellStyle name="Normal 18 2 2 2 2 2 3" xfId="5786"/>
    <cellStyle name="Normal 18 2 2 2 2 3" xfId="5787"/>
    <cellStyle name="Normal 18 2 2 2 2 3 2" xfId="5788"/>
    <cellStyle name="Normal 18 2 2 2 2 3 2 2" xfId="5789"/>
    <cellStyle name="Normal 18 2 2 2 2 3 3" xfId="5790"/>
    <cellStyle name="Normal 18 2 2 2 2 4" xfId="5791"/>
    <cellStyle name="Normal 18 2 2 2 2 4 2" xfId="5792"/>
    <cellStyle name="Normal 18 2 2 2 2 5" xfId="5793"/>
    <cellStyle name="Normal 18 2 2 2 3" xfId="5794"/>
    <cellStyle name="Normal 18 2 2 2 3 2" xfId="5795"/>
    <cellStyle name="Normal 18 2 2 2 3 2 2" xfId="5796"/>
    <cellStyle name="Normal 18 2 2 2 3 3" xfId="5797"/>
    <cellStyle name="Normal 18 2 2 2 4" xfId="5798"/>
    <cellStyle name="Normal 18 2 2 2 4 2" xfId="5799"/>
    <cellStyle name="Normal 18 2 2 2 4 2 2" xfId="5800"/>
    <cellStyle name="Normal 18 2 2 2 4 3" xfId="5801"/>
    <cellStyle name="Normal 18 2 2 2 5" xfId="5802"/>
    <cellStyle name="Normal 18 2 2 2 5 2" xfId="5803"/>
    <cellStyle name="Normal 18 2 2 2 6" xfId="5804"/>
    <cellStyle name="Normal 18 2 2 3" xfId="5805"/>
    <cellStyle name="Normal 18 2 2 3 2" xfId="5806"/>
    <cellStyle name="Normal 18 2 2 3 2 2" xfId="5807"/>
    <cellStyle name="Normal 18 2 2 3 2 2 2" xfId="5808"/>
    <cellStyle name="Normal 18 2 2 3 2 3" xfId="5809"/>
    <cellStyle name="Normal 18 2 2 3 3" xfId="5810"/>
    <cellStyle name="Normal 18 2 2 3 3 2" xfId="5811"/>
    <cellStyle name="Normal 18 2 2 3 3 2 2" xfId="5812"/>
    <cellStyle name="Normal 18 2 2 3 3 3" xfId="5813"/>
    <cellStyle name="Normal 18 2 2 3 4" xfId="5814"/>
    <cellStyle name="Normal 18 2 2 3 4 2" xfId="5815"/>
    <cellStyle name="Normal 18 2 2 3 5" xfId="5816"/>
    <cellStyle name="Normal 18 2 2 4" xfId="5817"/>
    <cellStyle name="Normal 18 2 2 4 2" xfId="5818"/>
    <cellStyle name="Normal 18 2 2 4 2 2" xfId="5819"/>
    <cellStyle name="Normal 18 2 2 4 3" xfId="5820"/>
    <cellStyle name="Normal 18 2 2 5" xfId="5821"/>
    <cellStyle name="Normal 18 2 2 5 2" xfId="5822"/>
    <cellStyle name="Normal 18 2 2 5 2 2" xfId="5823"/>
    <cellStyle name="Normal 18 2 2 5 3" xfId="5824"/>
    <cellStyle name="Normal 18 2 2 6" xfId="5825"/>
    <cellStyle name="Normal 18 2 2 6 2" xfId="5826"/>
    <cellStyle name="Normal 18 2 2 7" xfId="5827"/>
    <cellStyle name="Normal 18 2 3" xfId="5828"/>
    <cellStyle name="Normal 18 2 3 2" xfId="5829"/>
    <cellStyle name="Normal 18 2 3 2 2" xfId="5830"/>
    <cellStyle name="Normal 18 2 3 2 2 2" xfId="5831"/>
    <cellStyle name="Normal 18 2 3 2 2 2 2" xfId="5832"/>
    <cellStyle name="Normal 18 2 3 2 2 3" xfId="5833"/>
    <cellStyle name="Normal 18 2 3 2 3" xfId="5834"/>
    <cellStyle name="Normal 18 2 3 2 3 2" xfId="5835"/>
    <cellStyle name="Normal 18 2 3 2 3 2 2" xfId="5836"/>
    <cellStyle name="Normal 18 2 3 2 3 3" xfId="5837"/>
    <cellStyle name="Normal 18 2 3 2 4" xfId="5838"/>
    <cellStyle name="Normal 18 2 3 2 4 2" xfId="5839"/>
    <cellStyle name="Normal 18 2 3 2 5" xfId="5840"/>
    <cellStyle name="Normal 18 2 3 3" xfId="5841"/>
    <cellStyle name="Normal 18 2 3 3 2" xfId="5842"/>
    <cellStyle name="Normal 18 2 3 3 2 2" xfId="5843"/>
    <cellStyle name="Normal 18 2 3 3 3" xfId="5844"/>
    <cellStyle name="Normal 18 2 3 4" xfId="5845"/>
    <cellStyle name="Normal 18 2 3 4 2" xfId="5846"/>
    <cellStyle name="Normal 18 2 3 4 2 2" xfId="5847"/>
    <cellStyle name="Normal 18 2 3 4 3" xfId="5848"/>
    <cellStyle name="Normal 18 2 3 5" xfId="5849"/>
    <cellStyle name="Normal 18 2 3 5 2" xfId="5850"/>
    <cellStyle name="Normal 18 2 3 6" xfId="5851"/>
    <cellStyle name="Normal 18 2 4" xfId="5852"/>
    <cellStyle name="Normal 18 2 4 2" xfId="5853"/>
    <cellStyle name="Normal 18 2 4 2 2" xfId="5854"/>
    <cellStyle name="Normal 18 2 4 2 2 2" xfId="5855"/>
    <cellStyle name="Normal 18 2 4 2 3" xfId="5856"/>
    <cellStyle name="Normal 18 2 4 3" xfId="5857"/>
    <cellStyle name="Normal 18 2 4 3 2" xfId="5858"/>
    <cellStyle name="Normal 18 2 4 3 2 2" xfId="5859"/>
    <cellStyle name="Normal 18 2 4 3 3" xfId="5860"/>
    <cellStyle name="Normal 18 2 4 4" xfId="5861"/>
    <cellStyle name="Normal 18 2 4 4 2" xfId="5862"/>
    <cellStyle name="Normal 18 2 4 5" xfId="5863"/>
    <cellStyle name="Normal 18 2 5" xfId="5864"/>
    <cellStyle name="Normal 18 2 5 2" xfId="5865"/>
    <cellStyle name="Normal 18 2 5 2 2" xfId="5866"/>
    <cellStyle name="Normal 18 2 5 3" xfId="5867"/>
    <cellStyle name="Normal 18 2 6" xfId="5868"/>
    <cellStyle name="Normal 18 2 6 2" xfId="5869"/>
    <cellStyle name="Normal 18 2 6 2 2" xfId="5870"/>
    <cellStyle name="Normal 18 2 6 3" xfId="5871"/>
    <cellStyle name="Normal 18 2 7" xfId="5872"/>
    <cellStyle name="Normal 18 2 7 2" xfId="5873"/>
    <cellStyle name="Normal 18 2 8" xfId="5874"/>
    <cellStyle name="Normal 18 3" xfId="5875"/>
    <cellStyle name="Normal 18 3 10" xfId="5876"/>
    <cellStyle name="Normal 18 3 2" xfId="5877"/>
    <cellStyle name="Normal 18 3 2 2" xfId="5878"/>
    <cellStyle name="Normal 18 3 2 2 2" xfId="5879"/>
    <cellStyle name="Normal 18 3 2 2 2 2" xfId="5880"/>
    <cellStyle name="Normal 18 3 2 2 2 2 2" xfId="5881"/>
    <cellStyle name="Normal 18 3 2 2 2 2 2 2" xfId="5882"/>
    <cellStyle name="Normal 18 3 2 2 2 2 3" xfId="5883"/>
    <cellStyle name="Normal 18 3 2 2 2 3" xfId="5884"/>
    <cellStyle name="Normal 18 3 2 2 2 3 2" xfId="5885"/>
    <cellStyle name="Normal 18 3 2 2 2 3 2 2" xfId="5886"/>
    <cellStyle name="Normal 18 3 2 2 2 3 3" xfId="5887"/>
    <cellStyle name="Normal 18 3 2 2 2 4" xfId="5888"/>
    <cellStyle name="Normal 18 3 2 2 2 4 2" xfId="5889"/>
    <cellStyle name="Normal 18 3 2 2 2 5" xfId="5890"/>
    <cellStyle name="Normal 18 3 2 2 3" xfId="5891"/>
    <cellStyle name="Normal 18 3 2 2 3 2" xfId="5892"/>
    <cellStyle name="Normal 18 3 2 2 3 2 2" xfId="5893"/>
    <cellStyle name="Normal 18 3 2 2 3 3" xfId="5894"/>
    <cellStyle name="Normal 18 3 2 2 4" xfId="5895"/>
    <cellStyle name="Normal 18 3 2 2 4 2" xfId="5896"/>
    <cellStyle name="Normal 18 3 2 2 4 2 2" xfId="5897"/>
    <cellStyle name="Normal 18 3 2 2 4 3" xfId="5898"/>
    <cellStyle name="Normal 18 3 2 2 5" xfId="5899"/>
    <cellStyle name="Normal 18 3 2 2 5 2" xfId="5900"/>
    <cellStyle name="Normal 18 3 2 2 6" xfId="5901"/>
    <cellStyle name="Normal 18 3 2 3" xfId="5902"/>
    <cellStyle name="Normal 18 3 2 3 2" xfId="5903"/>
    <cellStyle name="Normal 18 3 2 3 2 2" xfId="5904"/>
    <cellStyle name="Normal 18 3 2 3 2 2 2" xfId="5905"/>
    <cellStyle name="Normal 18 3 2 3 2 3" xfId="5906"/>
    <cellStyle name="Normal 18 3 2 3 3" xfId="5907"/>
    <cellStyle name="Normal 18 3 2 3 3 2" xfId="5908"/>
    <cellStyle name="Normal 18 3 2 3 3 2 2" xfId="5909"/>
    <cellStyle name="Normal 18 3 2 3 3 3" xfId="5910"/>
    <cellStyle name="Normal 18 3 2 3 4" xfId="5911"/>
    <cellStyle name="Normal 18 3 2 3 4 2" xfId="5912"/>
    <cellStyle name="Normal 18 3 2 3 5" xfId="5913"/>
    <cellStyle name="Normal 18 3 2 4" xfId="5914"/>
    <cellStyle name="Normal 18 3 2 4 2" xfId="5915"/>
    <cellStyle name="Normal 18 3 2 4 2 2" xfId="5916"/>
    <cellStyle name="Normal 18 3 2 4 3" xfId="5917"/>
    <cellStyle name="Normal 18 3 2 5" xfId="5918"/>
    <cellStyle name="Normal 18 3 2 5 2" xfId="5919"/>
    <cellStyle name="Normal 18 3 2 5 2 2" xfId="5920"/>
    <cellStyle name="Normal 18 3 2 5 3" xfId="5921"/>
    <cellStyle name="Normal 18 3 2 6" xfId="5922"/>
    <cellStyle name="Normal 18 3 2 6 2" xfId="5923"/>
    <cellStyle name="Normal 18 3 2 7" xfId="5924"/>
    <cellStyle name="Normal 18 3 3" xfId="5925"/>
    <cellStyle name="Normal 18 3 3 2" xfId="5926"/>
    <cellStyle name="Normal 18 3 3 2 2" xfId="5927"/>
    <cellStyle name="Normal 18 3 3 2 2 2" xfId="5928"/>
    <cellStyle name="Normal 18 3 3 2 2 2 2" xfId="5929"/>
    <cellStyle name="Normal 18 3 3 2 2 3" xfId="5930"/>
    <cellStyle name="Normal 18 3 3 2 3" xfId="5931"/>
    <cellStyle name="Normal 18 3 3 2 3 2" xfId="5932"/>
    <cellStyle name="Normal 18 3 3 2 3 2 2" xfId="5933"/>
    <cellStyle name="Normal 18 3 3 2 3 3" xfId="5934"/>
    <cellStyle name="Normal 18 3 3 2 4" xfId="5935"/>
    <cellStyle name="Normal 18 3 3 2 4 2" xfId="5936"/>
    <cellStyle name="Normal 18 3 3 2 5" xfId="5937"/>
    <cellStyle name="Normal 18 3 3 3" xfId="5938"/>
    <cellStyle name="Normal 18 3 3 3 2" xfId="5939"/>
    <cellStyle name="Normal 18 3 3 3 2 2" xfId="5940"/>
    <cellStyle name="Normal 18 3 3 3 3" xfId="5941"/>
    <cellStyle name="Normal 18 3 3 4" xfId="5942"/>
    <cellStyle name="Normal 18 3 3 4 2" xfId="5943"/>
    <cellStyle name="Normal 18 3 3 4 2 2" xfId="5944"/>
    <cellStyle name="Normal 18 3 3 4 3" xfId="5945"/>
    <cellStyle name="Normal 18 3 3 5" xfId="5946"/>
    <cellStyle name="Normal 18 3 3 5 2" xfId="5947"/>
    <cellStyle name="Normal 18 3 3 6" xfId="5948"/>
    <cellStyle name="Normal 18 3 4" xfId="5949"/>
    <cellStyle name="Normal 18 3 4 2" xfId="5950"/>
    <cellStyle name="Normal 18 3 4 2 2" xfId="5951"/>
    <cellStyle name="Normal 18 3 4 2 2 2" xfId="5952"/>
    <cellStyle name="Normal 18 3 4 2 3" xfId="5953"/>
    <cellStyle name="Normal 18 3 4 3" xfId="5954"/>
    <cellStyle name="Normal 18 3 4 3 2" xfId="5955"/>
    <cellStyle name="Normal 18 3 4 3 2 2" xfId="5956"/>
    <cellStyle name="Normal 18 3 4 3 3" xfId="5957"/>
    <cellStyle name="Normal 18 3 4 4" xfId="5958"/>
    <cellStyle name="Normal 18 3 4 4 2" xfId="5959"/>
    <cellStyle name="Normal 18 3 4 5" xfId="5960"/>
    <cellStyle name="Normal 18 3 5" xfId="5961"/>
    <cellStyle name="Normal 18 3 5 2" xfId="5962"/>
    <cellStyle name="Normal 18 3 5 2 2" xfId="5963"/>
    <cellStyle name="Normal 18 3 5 3" xfId="5964"/>
    <cellStyle name="Normal 18 3 6" xfId="5965"/>
    <cellStyle name="Normal 18 3 6 2" xfId="5966"/>
    <cellStyle name="Normal 18 3 6 2 2" xfId="5967"/>
    <cellStyle name="Normal 18 3 6 3" xfId="5968"/>
    <cellStyle name="Normal 18 3 7" xfId="5969"/>
    <cellStyle name="Normal 18 3 7 2" xfId="5970"/>
    <cellStyle name="Normal 18 3 8" xfId="5971"/>
    <cellStyle name="Normal 18 3 8 2" xfId="5972"/>
    <cellStyle name="Normal 18 3 9" xfId="5973"/>
    <cellStyle name="Normal 18 4" xfId="5974"/>
    <cellStyle name="Normal 18 4 2" xfId="5975"/>
    <cellStyle name="Normal 18 4 2 2" xfId="5976"/>
    <cellStyle name="Normal 18 4 3" xfId="5977"/>
    <cellStyle name="Normal 18 4 4" xfId="5978"/>
    <cellStyle name="Normal 18 5" xfId="5979"/>
    <cellStyle name="Normal 18 5 2" xfId="5980"/>
    <cellStyle name="Normal 18 5 2 2" xfId="5981"/>
    <cellStyle name="Normal 18 5 2 2 2" xfId="5982"/>
    <cellStyle name="Normal 18 5 2 2 2 2" xfId="5983"/>
    <cellStyle name="Normal 18 5 2 2 2 2 2" xfId="5984"/>
    <cellStyle name="Normal 18 5 2 2 2 3" xfId="5985"/>
    <cellStyle name="Normal 18 5 2 2 3" xfId="5986"/>
    <cellStyle name="Normal 18 5 2 2 3 2" xfId="5987"/>
    <cellStyle name="Normal 18 5 2 2 3 2 2" xfId="5988"/>
    <cellStyle name="Normal 18 5 2 2 3 3" xfId="5989"/>
    <cellStyle name="Normal 18 5 2 2 4" xfId="5990"/>
    <cellStyle name="Normal 18 5 2 2 4 2" xfId="5991"/>
    <cellStyle name="Normal 18 5 2 2 5" xfId="5992"/>
    <cellStyle name="Normal 18 5 2 3" xfId="5993"/>
    <cellStyle name="Normal 18 5 2 3 2" xfId="5994"/>
    <cellStyle name="Normal 18 5 2 3 2 2" xfId="5995"/>
    <cellStyle name="Normal 18 5 2 3 3" xfId="5996"/>
    <cellStyle name="Normal 18 5 2 4" xfId="5997"/>
    <cellStyle name="Normal 18 5 2 4 2" xfId="5998"/>
    <cellStyle name="Normal 18 5 2 4 2 2" xfId="5999"/>
    <cellStyle name="Normal 18 5 2 4 3" xfId="6000"/>
    <cellStyle name="Normal 18 5 2 5" xfId="6001"/>
    <cellStyle name="Normal 18 5 2 5 2" xfId="6002"/>
    <cellStyle name="Normal 18 5 2 6" xfId="6003"/>
    <cellStyle name="Normal 18 5 3" xfId="6004"/>
    <cellStyle name="Normal 18 5 3 2" xfId="6005"/>
    <cellStyle name="Normal 18 5 3 2 2" xfId="6006"/>
    <cellStyle name="Normal 18 5 3 2 2 2" xfId="6007"/>
    <cellStyle name="Normal 18 5 3 2 3" xfId="6008"/>
    <cellStyle name="Normal 18 5 3 3" xfId="6009"/>
    <cellStyle name="Normal 18 5 3 3 2" xfId="6010"/>
    <cellStyle name="Normal 18 5 3 3 2 2" xfId="6011"/>
    <cellStyle name="Normal 18 5 3 3 3" xfId="6012"/>
    <cellStyle name="Normal 18 5 3 4" xfId="6013"/>
    <cellStyle name="Normal 18 5 3 4 2" xfId="6014"/>
    <cellStyle name="Normal 18 5 3 5" xfId="6015"/>
    <cellStyle name="Normal 18 5 4" xfId="6016"/>
    <cellStyle name="Normal 18 5 4 2" xfId="6017"/>
    <cellStyle name="Normal 18 5 4 2 2" xfId="6018"/>
    <cellStyle name="Normal 18 5 4 3" xfId="6019"/>
    <cellStyle name="Normal 18 5 5" xfId="6020"/>
    <cellStyle name="Normal 18 5 5 2" xfId="6021"/>
    <cellStyle name="Normal 18 5 5 2 2" xfId="6022"/>
    <cellStyle name="Normal 18 5 5 3" xfId="6023"/>
    <cellStyle name="Normal 18 5 6" xfId="6024"/>
    <cellStyle name="Normal 18 5 6 2" xfId="6025"/>
    <cellStyle name="Normal 18 5 7" xfId="6026"/>
    <cellStyle name="Normal 18 6" xfId="6027"/>
    <cellStyle name="Normal 18 6 2" xfId="6028"/>
    <cellStyle name="Normal 18 6 2 2" xfId="6029"/>
    <cellStyle name="Normal 18 6 2 2 2" xfId="6030"/>
    <cellStyle name="Normal 18 6 2 2 2 2" xfId="6031"/>
    <cellStyle name="Normal 18 6 2 2 3" xfId="6032"/>
    <cellStyle name="Normal 18 6 2 3" xfId="6033"/>
    <cellStyle name="Normal 18 6 2 3 2" xfId="6034"/>
    <cellStyle name="Normal 18 6 2 3 2 2" xfId="6035"/>
    <cellStyle name="Normal 18 6 2 3 3" xfId="6036"/>
    <cellStyle name="Normal 18 6 2 4" xfId="6037"/>
    <cellStyle name="Normal 18 6 2 4 2" xfId="6038"/>
    <cellStyle name="Normal 18 6 2 5" xfId="6039"/>
    <cellStyle name="Normal 18 6 3" xfId="6040"/>
    <cellStyle name="Normal 18 6 3 2" xfId="6041"/>
    <cellStyle name="Normal 18 6 3 2 2" xfId="6042"/>
    <cellStyle name="Normal 18 6 3 3" xfId="6043"/>
    <cellStyle name="Normal 18 6 4" xfId="6044"/>
    <cellStyle name="Normal 18 6 4 2" xfId="6045"/>
    <cellStyle name="Normal 18 6 4 2 2" xfId="6046"/>
    <cellStyle name="Normal 18 6 4 3" xfId="6047"/>
    <cellStyle name="Normal 18 6 5" xfId="6048"/>
    <cellStyle name="Normal 18 6 5 2" xfId="6049"/>
    <cellStyle name="Normal 18 6 6" xfId="6050"/>
    <cellStyle name="Normal 18 7" xfId="6051"/>
    <cellStyle name="Normal 18 7 2" xfId="6052"/>
    <cellStyle name="Normal 18 7 2 2" xfId="6053"/>
    <cellStyle name="Normal 18 7 2 2 2" xfId="6054"/>
    <cellStyle name="Normal 18 7 2 3" xfId="6055"/>
    <cellStyle name="Normal 18 7 3" xfId="6056"/>
    <cellStyle name="Normal 18 7 3 2" xfId="6057"/>
    <cellStyle name="Normal 18 7 3 2 2" xfId="6058"/>
    <cellStyle name="Normal 18 7 3 3" xfId="6059"/>
    <cellStyle name="Normal 18 7 4" xfId="6060"/>
    <cellStyle name="Normal 18 7 4 2" xfId="6061"/>
    <cellStyle name="Normal 18 7 5" xfId="6062"/>
    <cellStyle name="Normal 18 8" xfId="6063"/>
    <cellStyle name="Normal 18 8 2" xfId="6064"/>
    <cellStyle name="Normal 18 8 2 2" xfId="6065"/>
    <cellStyle name="Normal 18 8 3" xfId="6066"/>
    <cellStyle name="Normal 18 9" xfId="6067"/>
    <cellStyle name="Normal 18 9 2" xfId="6068"/>
    <cellStyle name="Normal 18 9 2 2" xfId="6069"/>
    <cellStyle name="Normal 18 9 3" xfId="6070"/>
    <cellStyle name="Normal 19" xfId="6071"/>
    <cellStyle name="Normal 19 2" xfId="6072"/>
    <cellStyle name="Normal 19 2 2" xfId="6073"/>
    <cellStyle name="Normal 19 2 2 2" xfId="6074"/>
    <cellStyle name="Normal 19 2 3" xfId="6075"/>
    <cellStyle name="Normal 19 2 3 2" xfId="6076"/>
    <cellStyle name="Normal 19 2 4" xfId="6077"/>
    <cellStyle name="Normal 19 3" xfId="6078"/>
    <cellStyle name="Normal 19 3 2" xfId="6079"/>
    <cellStyle name="Normal 19 3 2 2" xfId="6080"/>
    <cellStyle name="Normal 19 3 3" xfId="6081"/>
    <cellStyle name="Normal 19 3 3 2" xfId="6082"/>
    <cellStyle name="Normal 19 3 4" xfId="6083"/>
    <cellStyle name="Normal 19 3 5" xfId="6084"/>
    <cellStyle name="Normal 19 4" xfId="6085"/>
    <cellStyle name="Normal 19 4 2" xfId="6086"/>
    <cellStyle name="Normal 19 4 3" xfId="6087"/>
    <cellStyle name="Normal 19 5" xfId="6088"/>
    <cellStyle name="Normal 19 5 2" xfId="6089"/>
    <cellStyle name="Normal 19 6" xfId="6090"/>
    <cellStyle name="Normal 19 6 2" xfId="6091"/>
    <cellStyle name="Normal 19 7" xfId="6092"/>
    <cellStyle name="Normal 19 8" xfId="6093"/>
    <cellStyle name="Normal 2" xfId="6094"/>
    <cellStyle name="Normal 2 10" xfId="6095"/>
    <cellStyle name="Normal 2 10 2" xfId="6096"/>
    <cellStyle name="Normal 2 10 2 2" xfId="6097"/>
    <cellStyle name="Normal 2 10 2 2 2" xfId="6098"/>
    <cellStyle name="Normal 2 10 2 3" xfId="6099"/>
    <cellStyle name="Normal 2 10 3" xfId="6100"/>
    <cellStyle name="Normal 2 10 3 2" xfId="6101"/>
    <cellStyle name="Normal 2 10 4" xfId="6102"/>
    <cellStyle name="Normal 2 10 4 2" xfId="6103"/>
    <cellStyle name="Normal 2 10 5" xfId="6104"/>
    <cellStyle name="Normal 2 10 5 2" xfId="6105"/>
    <cellStyle name="Normal 2 10 6" xfId="6106"/>
    <cellStyle name="Normal 2 10 7" xfId="6107"/>
    <cellStyle name="Normal 2 11" xfId="6108"/>
    <cellStyle name="Normal 2 11 2" xfId="6109"/>
    <cellStyle name="Normal 2 11 2 2" xfId="6110"/>
    <cellStyle name="Normal 2 11 3" xfId="6111"/>
    <cellStyle name="Normal 2 11 3 2" xfId="6112"/>
    <cellStyle name="Normal 2 11 4" xfId="6113"/>
    <cellStyle name="Normal 2 11 5" xfId="6114"/>
    <cellStyle name="Normal 2 12" xfId="6115"/>
    <cellStyle name="Normal 2 12 2" xfId="6116"/>
    <cellStyle name="Normal 2 12 2 2" xfId="6117"/>
    <cellStyle name="Normal 2 12 3" xfId="6118"/>
    <cellStyle name="Normal 2 13" xfId="6119"/>
    <cellStyle name="Normal 2 13 2" xfId="6120"/>
    <cellStyle name="Normal 2 14" xfId="6121"/>
    <cellStyle name="Normal 2 14 2" xfId="6122"/>
    <cellStyle name="Normal 2 15" xfId="6123"/>
    <cellStyle name="Normal 2 15 2" xfId="6124"/>
    <cellStyle name="Normal 2 16" xfId="6125"/>
    <cellStyle name="Normal 2 16 2" xfId="6126"/>
    <cellStyle name="Normal 2 17" xfId="6127"/>
    <cellStyle name="Normal 2 17 2" xfId="6128"/>
    <cellStyle name="Normal 2 18" xfId="6129"/>
    <cellStyle name="Normal 2 19" xfId="6130"/>
    <cellStyle name="Normal 2 2" xfId="6131"/>
    <cellStyle name="Normal 2 2 10" xfId="6132"/>
    <cellStyle name="Normal 2 2 10 2" xfId="6133"/>
    <cellStyle name="Normal 2 2 11" xfId="6134"/>
    <cellStyle name="Normal 2 2 11 2" xfId="6135"/>
    <cellStyle name="Normal 2 2 12" xfId="6136"/>
    <cellStyle name="Normal 2 2 13" xfId="6137"/>
    <cellStyle name="Normal 2 2 2" xfId="6138"/>
    <cellStyle name="Normal 2 2 2 10" xfId="6139"/>
    <cellStyle name="Normal 2 2 2 11" xfId="6140"/>
    <cellStyle name="Normal 2 2 2 2" xfId="6141"/>
    <cellStyle name="Normal 2 2 2 2 2" xfId="6142"/>
    <cellStyle name="Normal 2 2 2 2 2 2" xfId="6143"/>
    <cellStyle name="Normal 2 2 2 2 2 2 2" xfId="6144"/>
    <cellStyle name="Normal 2 2 2 2 2 2 2 2" xfId="6145"/>
    <cellStyle name="Normal 2 2 2 2 2 2 3" xfId="6146"/>
    <cellStyle name="Normal 2 2 2 2 2 2 3 2" xfId="6147"/>
    <cellStyle name="Normal 2 2 2 2 2 2 4" xfId="6148"/>
    <cellStyle name="Normal 2 2 2 2 2 3" xfId="6149"/>
    <cellStyle name="Normal 2 2 2 2 2 3 2" xfId="6150"/>
    <cellStyle name="Normal 2 2 2 2 2 3 2 2" xfId="6151"/>
    <cellStyle name="Normal 2 2 2 2 2 3 3" xfId="6152"/>
    <cellStyle name="Normal 2 2 2 2 2 3 3 2" xfId="6153"/>
    <cellStyle name="Normal 2 2 2 2 2 3 4" xfId="6154"/>
    <cellStyle name="Normal 2 2 2 2 2 4" xfId="6155"/>
    <cellStyle name="Normal 2 2 2 2 2 4 2" xfId="6156"/>
    <cellStyle name="Normal 2 2 2 2 2 5" xfId="6157"/>
    <cellStyle name="Normal 2 2 2 2 2 5 2" xfId="6158"/>
    <cellStyle name="Normal 2 2 2 2 2 6" xfId="6159"/>
    <cellStyle name="Normal 2 2 2 2 3" xfId="6160"/>
    <cellStyle name="Normal 2 2 2 2 3 2" xfId="6161"/>
    <cellStyle name="Normal 2 2 2 2 3 2 2" xfId="6162"/>
    <cellStyle name="Normal 2 2 2 2 3 3" xfId="6163"/>
    <cellStyle name="Normal 2 2 2 2 3 3 2" xfId="6164"/>
    <cellStyle name="Normal 2 2 2 2 3 4" xfId="6165"/>
    <cellStyle name="Normal 2 2 2 2 3 4 2" xfId="6166"/>
    <cellStyle name="Normal 2 2 2 2 3 5" xfId="6167"/>
    <cellStyle name="Normal 2 2 2 2 3 5 2" xfId="6168"/>
    <cellStyle name="Normal 2 2 2 2 3 6" xfId="6169"/>
    <cellStyle name="Normal 2 2 2 2 4" xfId="6170"/>
    <cellStyle name="Normal 2 2 2 2 4 2" xfId="6171"/>
    <cellStyle name="Normal 2 2 2 2 4 2 2" xfId="6172"/>
    <cellStyle name="Normal 2 2 2 2 4 3" xfId="6173"/>
    <cellStyle name="Normal 2 2 2 2 4 3 2" xfId="6174"/>
    <cellStyle name="Normal 2 2 2 2 4 4" xfId="6175"/>
    <cellStyle name="Normal 2 2 2 2 5" xfId="6176"/>
    <cellStyle name="Normal 2 2 2 2 5 2" xfId="6177"/>
    <cellStyle name="Normal 2 2 2 2 5 2 2" xfId="6178"/>
    <cellStyle name="Normal 2 2 2 2 5 3" xfId="6179"/>
    <cellStyle name="Normal 2 2 2 2 5 3 2" xfId="6180"/>
    <cellStyle name="Normal 2 2 2 2 5 4" xfId="6181"/>
    <cellStyle name="Normal 2 2 2 2 6" xfId="6182"/>
    <cellStyle name="Normal 2 2 2 2 6 2" xfId="6183"/>
    <cellStyle name="Normal 2 2 2 2 7" xfId="6184"/>
    <cellStyle name="Normal 2 2 2 2 7 2" xfId="6185"/>
    <cellStyle name="Normal 2 2 2 2 8" xfId="6186"/>
    <cellStyle name="Normal 2 2 2 2 9" xfId="6187"/>
    <cellStyle name="Normal 2 2 2 3" xfId="6188"/>
    <cellStyle name="Normal 2 2 2 3 2" xfId="6189"/>
    <cellStyle name="Normal 2 2 2 3 2 2" xfId="6190"/>
    <cellStyle name="Normal 2 2 2 3 2 2 2" xfId="6191"/>
    <cellStyle name="Normal 2 2 2 3 2 3" xfId="6192"/>
    <cellStyle name="Normal 2 2 2 3 2 3 2" xfId="6193"/>
    <cellStyle name="Normal 2 2 2 3 2 4" xfId="6194"/>
    <cellStyle name="Normal 2 2 2 3 3" xfId="6195"/>
    <cellStyle name="Normal 2 2 2 3 3 2" xfId="6196"/>
    <cellStyle name="Normal 2 2 2 3 3 2 2" xfId="6197"/>
    <cellStyle name="Normal 2 2 2 3 3 3" xfId="6198"/>
    <cellStyle name="Normal 2 2 2 3 3 3 2" xfId="6199"/>
    <cellStyle name="Normal 2 2 2 3 3 4" xfId="6200"/>
    <cellStyle name="Normal 2 2 2 3 4" xfId="6201"/>
    <cellStyle name="Normal 2 2 2 3 4 2" xfId="6202"/>
    <cellStyle name="Normal 2 2 2 3 5" xfId="6203"/>
    <cellStyle name="Normal 2 2 2 3 5 2" xfId="6204"/>
    <cellStyle name="Normal 2 2 2 3 6" xfId="6205"/>
    <cellStyle name="Normal 2 2 2 4" xfId="6206"/>
    <cellStyle name="Normal 2 2 2 4 2" xfId="6207"/>
    <cellStyle name="Normal 2 2 2 4 2 2" xfId="6208"/>
    <cellStyle name="Normal 2 2 2 4 3" xfId="6209"/>
    <cellStyle name="Normal 2 2 2 4 3 2" xfId="6210"/>
    <cellStyle name="Normal 2 2 2 4 4" xfId="6211"/>
    <cellStyle name="Normal 2 2 2 4 4 2" xfId="6212"/>
    <cellStyle name="Normal 2 2 2 4 5" xfId="6213"/>
    <cellStyle name="Normal 2 2 2 4 5 2" xfId="6214"/>
    <cellStyle name="Normal 2 2 2 4 6" xfId="6215"/>
    <cellStyle name="Normal 2 2 2 5" xfId="6216"/>
    <cellStyle name="Normal 2 2 2 5 2" xfId="6217"/>
    <cellStyle name="Normal 2 2 2 5 2 2" xfId="6218"/>
    <cellStyle name="Normal 2 2 2 5 3" xfId="6219"/>
    <cellStyle name="Normal 2 2 2 5 3 2" xfId="6220"/>
    <cellStyle name="Normal 2 2 2 5 4" xfId="6221"/>
    <cellStyle name="Normal 2 2 2 6" xfId="6222"/>
    <cellStyle name="Normal 2 2 2 6 2" xfId="6223"/>
    <cellStyle name="Normal 2 2 2 6 2 2" xfId="6224"/>
    <cellStyle name="Normal 2 2 2 6 3" xfId="6225"/>
    <cellStyle name="Normal 2 2 2 6 3 2" xfId="6226"/>
    <cellStyle name="Normal 2 2 2 6 4" xfId="6227"/>
    <cellStyle name="Normal 2 2 2 7" xfId="6228"/>
    <cellStyle name="Normal 2 2 2 7 2" xfId="6229"/>
    <cellStyle name="Normal 2 2 2 8" xfId="6230"/>
    <cellStyle name="Normal 2 2 2 8 2" xfId="6231"/>
    <cellStyle name="Normal 2 2 2 9" xfId="6232"/>
    <cellStyle name="Normal 2 2 2 9 2" xfId="6233"/>
    <cellStyle name="Normal 2 2 2_Epicor" xfId="6234"/>
    <cellStyle name="Normal 2 2 3" xfId="6235"/>
    <cellStyle name="Normal 2 2 3 2" xfId="6236"/>
    <cellStyle name="Normal 2 2 3 2 2" xfId="6237"/>
    <cellStyle name="Normal 2 2 3 2 2 2" xfId="6238"/>
    <cellStyle name="Normal 2 2 3 2 2 2 2" xfId="6239"/>
    <cellStyle name="Normal 2 2 3 2 2 3" xfId="6240"/>
    <cellStyle name="Normal 2 2 3 2 2 3 2" xfId="6241"/>
    <cellStyle name="Normal 2 2 3 2 2 4" xfId="6242"/>
    <cellStyle name="Normal 2 2 3 2 3" xfId="6243"/>
    <cellStyle name="Normal 2 2 3 2 3 2" xfId="6244"/>
    <cellStyle name="Normal 2 2 3 2 3 2 2" xfId="6245"/>
    <cellStyle name="Normal 2 2 3 2 3 3" xfId="6246"/>
    <cellStyle name="Normal 2 2 3 2 3 3 2" xfId="6247"/>
    <cellStyle name="Normal 2 2 3 2 3 4" xfId="6248"/>
    <cellStyle name="Normal 2 2 3 2 4" xfId="6249"/>
    <cellStyle name="Normal 2 2 3 2 4 2" xfId="6250"/>
    <cellStyle name="Normal 2 2 3 2 5" xfId="6251"/>
    <cellStyle name="Normal 2 2 3 2 5 2" xfId="6252"/>
    <cellStyle name="Normal 2 2 3 2 6" xfId="6253"/>
    <cellStyle name="Normal 2 2 3 3" xfId="6254"/>
    <cellStyle name="Normal 2 2 3 3 2" xfId="6255"/>
    <cellStyle name="Normal 2 2 3 3 2 2" xfId="6256"/>
    <cellStyle name="Normal 2 2 3 3 3" xfId="6257"/>
    <cellStyle name="Normal 2 2 3 3 3 2" xfId="6258"/>
    <cellStyle name="Normal 2 2 3 3 4" xfId="6259"/>
    <cellStyle name="Normal 2 2 3 3 4 2" xfId="6260"/>
    <cellStyle name="Normal 2 2 3 3 5" xfId="6261"/>
    <cellStyle name="Normal 2 2 3 3 5 2" xfId="6262"/>
    <cellStyle name="Normal 2 2 3 3 6" xfId="6263"/>
    <cellStyle name="Normal 2 2 3 4" xfId="6264"/>
    <cellStyle name="Normal 2 2 3 4 2" xfId="6265"/>
    <cellStyle name="Normal 2 2 3 4 2 2" xfId="6266"/>
    <cellStyle name="Normal 2 2 3 4 3" xfId="6267"/>
    <cellStyle name="Normal 2 2 3 4 3 2" xfId="6268"/>
    <cellStyle name="Normal 2 2 3 4 4" xfId="6269"/>
    <cellStyle name="Normal 2 2 3 5" xfId="6270"/>
    <cellStyle name="Normal 2 2 3 5 2" xfId="6271"/>
    <cellStyle name="Normal 2 2 3 5 2 2" xfId="6272"/>
    <cellStyle name="Normal 2 2 3 5 3" xfId="6273"/>
    <cellStyle name="Normal 2 2 3 5 3 2" xfId="6274"/>
    <cellStyle name="Normal 2 2 3 5 4" xfId="6275"/>
    <cellStyle name="Normal 2 2 3 6" xfId="6276"/>
    <cellStyle name="Normal 2 2 3 6 2" xfId="6277"/>
    <cellStyle name="Normal 2 2 3 7" xfId="6278"/>
    <cellStyle name="Normal 2 2 3 7 2" xfId="6279"/>
    <cellStyle name="Normal 2 2 3 8" xfId="6280"/>
    <cellStyle name="Normal 2 2 3 9" xfId="6281"/>
    <cellStyle name="Normal 2 2 4" xfId="6282"/>
    <cellStyle name="Normal 2 2 4 2" xfId="6283"/>
    <cellStyle name="Normal 2 2 4 2 2" xfId="6284"/>
    <cellStyle name="Normal 2 2 4 2 2 2" xfId="6285"/>
    <cellStyle name="Normal 2 2 4 2 3" xfId="6286"/>
    <cellStyle name="Normal 2 2 4 2 3 2" xfId="6287"/>
    <cellStyle name="Normal 2 2 4 2 4" xfId="6288"/>
    <cellStyle name="Normal 2 2 4 3" xfId="6289"/>
    <cellStyle name="Normal 2 2 4 3 2" xfId="6290"/>
    <cellStyle name="Normal 2 2 4 3 2 2" xfId="6291"/>
    <cellStyle name="Normal 2 2 4 3 3" xfId="6292"/>
    <cellStyle name="Normal 2 2 4 3 3 2" xfId="6293"/>
    <cellStyle name="Normal 2 2 4 3 4" xfId="6294"/>
    <cellStyle name="Normal 2 2 4 4" xfId="6295"/>
    <cellStyle name="Normal 2 2 4 4 2" xfId="6296"/>
    <cellStyle name="Normal 2 2 4 5" xfId="6297"/>
    <cellStyle name="Normal 2 2 4 5 2" xfId="6298"/>
    <cellStyle name="Normal 2 2 4 6" xfId="6299"/>
    <cellStyle name="Normal 2 2 4 7" xfId="6300"/>
    <cellStyle name="Normal 2 2 5" xfId="6301"/>
    <cellStyle name="Normal 2 2 5 2" xfId="6302"/>
    <cellStyle name="Normal 2 2 5 2 2" xfId="6303"/>
    <cellStyle name="Normal 2 2 5 3" xfId="6304"/>
    <cellStyle name="Normal 2 2 5 3 2" xfId="6305"/>
    <cellStyle name="Normal 2 2 5 4" xfId="6306"/>
    <cellStyle name="Normal 2 2 5 4 2" xfId="6307"/>
    <cellStyle name="Normal 2 2 5 5" xfId="6308"/>
    <cellStyle name="Normal 2 2 5 5 2" xfId="6309"/>
    <cellStyle name="Normal 2 2 5 6" xfId="6310"/>
    <cellStyle name="Normal 2 2 6" xfId="6311"/>
    <cellStyle name="Normal 2 2 6 2" xfId="6312"/>
    <cellStyle name="Normal 2 2 6 2 2" xfId="6313"/>
    <cellStyle name="Normal 2 2 6 3" xfId="6314"/>
    <cellStyle name="Normal 2 2 6 3 2" xfId="6315"/>
    <cellStyle name="Normal 2 2 6 4" xfId="6316"/>
    <cellStyle name="Normal 2 2 7" xfId="6317"/>
    <cellStyle name="Normal 2 2 7 2" xfId="6318"/>
    <cellStyle name="Normal 2 2 7 2 2" xfId="6319"/>
    <cellStyle name="Normal 2 2 7 3" xfId="6320"/>
    <cellStyle name="Normal 2 2 7 3 2" xfId="6321"/>
    <cellStyle name="Normal 2 2 7 4" xfId="6322"/>
    <cellStyle name="Normal 2 2 8" xfId="6323"/>
    <cellStyle name="Normal 2 2 8 2" xfId="6324"/>
    <cellStyle name="Normal 2 2 9" xfId="6325"/>
    <cellStyle name="Normal 2 2 9 2" xfId="6326"/>
    <cellStyle name="Normal 2 2_10051" xfId="6327"/>
    <cellStyle name="Normal 2 20" xfId="6328"/>
    <cellStyle name="Normal 2 21" xfId="6329"/>
    <cellStyle name="Normal 2 22" xfId="6330"/>
    <cellStyle name="Normal 2 23" xfId="6331"/>
    <cellStyle name="Normal 2 24" xfId="6332"/>
    <cellStyle name="Normal 2 25" xfId="6333"/>
    <cellStyle name="Normal 2 3" xfId="6334"/>
    <cellStyle name="Normal 2 3 2" xfId="6335"/>
    <cellStyle name="Normal 2 3 2 2" xfId="6336"/>
    <cellStyle name="Normal 2 3 2 2 2" xfId="6337"/>
    <cellStyle name="Normal 2 3 2 3" xfId="6338"/>
    <cellStyle name="Normal 2 3 2 3 2" xfId="6339"/>
    <cellStyle name="Normal 2 3 2 4" xfId="6340"/>
    <cellStyle name="Normal 2 3 2 5" xfId="6341"/>
    <cellStyle name="Normal 2 3 2_Active emp List" xfId="6342"/>
    <cellStyle name="Normal 2 3 3" xfId="6343"/>
    <cellStyle name="Normal 2 3 3 2" xfId="6344"/>
    <cellStyle name="Normal 2 3 3 2 2" xfId="6345"/>
    <cellStyle name="Normal 2 3 3 2 2 2" xfId="6346"/>
    <cellStyle name="Normal 2 3 3 2 3" xfId="6347"/>
    <cellStyle name="Normal 2 3 3 2 4" xfId="6348"/>
    <cellStyle name="Normal 2 3 3 3" xfId="6349"/>
    <cellStyle name="Normal 2 3 3 3 2" xfId="6350"/>
    <cellStyle name="Normal 2 3 3 4" xfId="6351"/>
    <cellStyle name="Normal 2 3 3 5" xfId="6352"/>
    <cellStyle name="Normal 2 3 4" xfId="6353"/>
    <cellStyle name="Normal 2 3 4 2" xfId="6354"/>
    <cellStyle name="Normal 2 3 4 2 2" xfId="6355"/>
    <cellStyle name="Normal 2 3 4 3" xfId="6356"/>
    <cellStyle name="Normal 2 3 4 4" xfId="6357"/>
    <cellStyle name="Normal 2 3 5" xfId="6358"/>
    <cellStyle name="Normal 2 3 5 2" xfId="6359"/>
    <cellStyle name="Normal 2 3 6" xfId="6360"/>
    <cellStyle name="Normal 2 3 7" xfId="6361"/>
    <cellStyle name="Normal 2 3 8" xfId="6362"/>
    <cellStyle name="Normal 2 3_2012 TV Budget" xfId="6363"/>
    <cellStyle name="Normal 2 4" xfId="6364"/>
    <cellStyle name="Normal 2 4 2" xfId="6365"/>
    <cellStyle name="Normal 2 4 2 2" xfId="6366"/>
    <cellStyle name="Normal 2 4 2 2 2" xfId="6367"/>
    <cellStyle name="Normal 2 4 2 2 2 2" xfId="6368"/>
    <cellStyle name="Normal 2 4 2 2 3" xfId="6369"/>
    <cellStyle name="Normal 2 4 2 3" xfId="6370"/>
    <cellStyle name="Normal 2 4 2 3 2" xfId="6371"/>
    <cellStyle name="Normal 2 4 2 4" xfId="6372"/>
    <cellStyle name="Normal 2 4 2 4 2" xfId="6373"/>
    <cellStyle name="Normal 2 4 2 5" xfId="6374"/>
    <cellStyle name="Normal 2 4 2 5 2" xfId="6375"/>
    <cellStyle name="Normal 2 4 2 6" xfId="6376"/>
    <cellStyle name="Normal 2 4 2 6 2" xfId="6377"/>
    <cellStyle name="Normal 2 4 2 7" xfId="6378"/>
    <cellStyle name="Normal 2 4 2 8" xfId="6379"/>
    <cellStyle name="Normal 2 4 3" xfId="6380"/>
    <cellStyle name="Normal 2 4 3 2" xfId="6381"/>
    <cellStyle name="Normal 2 4 3 2 2" xfId="6382"/>
    <cellStyle name="Normal 2 4 3 3" xfId="6383"/>
    <cellStyle name="Normal 2 4 3 3 2" xfId="6384"/>
    <cellStyle name="Normal 2 4 3 4" xfId="6385"/>
    <cellStyle name="Normal 2 4 4" xfId="6386"/>
    <cellStyle name="Normal 2 4 4 2" xfId="6387"/>
    <cellStyle name="Normal 2 4 4 2 2" xfId="6388"/>
    <cellStyle name="Normal 2 4 4 3" xfId="6389"/>
    <cellStyle name="Normal 2 4 4 3 2" xfId="6390"/>
    <cellStyle name="Normal 2 4 4 4" xfId="6391"/>
    <cellStyle name="Normal 2 4 5" xfId="6392"/>
    <cellStyle name="Normal 2 4 5 2" xfId="6393"/>
    <cellStyle name="Normal 2 4 6" xfId="6394"/>
    <cellStyle name="Normal 2 4 6 2" xfId="6395"/>
    <cellStyle name="Normal 2 4 7" xfId="6396"/>
    <cellStyle name="Normal 2 4 8" xfId="6397"/>
    <cellStyle name="Normal 2 5" xfId="6398"/>
    <cellStyle name="Normal 2 5 2" xfId="6399"/>
    <cellStyle name="Normal 2 5 2 2" xfId="6400"/>
    <cellStyle name="Normal 2 5 3" xfId="6401"/>
    <cellStyle name="Normal 2 5 3 2" xfId="6402"/>
    <cellStyle name="Normal 2 5 4" xfId="6403"/>
    <cellStyle name="Normal 2 5 5" xfId="6404"/>
    <cellStyle name="Normal 2 6" xfId="6405"/>
    <cellStyle name="Normal 2 6 2" xfId="6406"/>
    <cellStyle name="Normal 2 6 2 2" xfId="6407"/>
    <cellStyle name="Normal 2 6 2 2 2" xfId="6408"/>
    <cellStyle name="Normal 2 6 2 3" xfId="6409"/>
    <cellStyle name="Normal 2 6 3" xfId="6410"/>
    <cellStyle name="Normal 2 6 3 2" xfId="6411"/>
    <cellStyle name="Normal 2 6 4" xfId="6412"/>
    <cellStyle name="Normal 2 6 4 2" xfId="6413"/>
    <cellStyle name="Normal 2 6 5" xfId="6414"/>
    <cellStyle name="Normal 2 6 5 2" xfId="6415"/>
    <cellStyle name="Normal 2 6 6" xfId="6416"/>
    <cellStyle name="Normal 2 6 7" xfId="6417"/>
    <cellStyle name="Normal 2 7" xfId="6418"/>
    <cellStyle name="Normal 2 7 2" xfId="6419"/>
    <cellStyle name="Normal 2 7 2 2" xfId="6420"/>
    <cellStyle name="Normal 2 7 3" xfId="6421"/>
    <cellStyle name="Normal 2 7 3 2" xfId="6422"/>
    <cellStyle name="Normal 2 7 4" xfId="6423"/>
    <cellStyle name="Normal 2 7 4 2" xfId="6424"/>
    <cellStyle name="Normal 2 7 5" xfId="6425"/>
    <cellStyle name="Normal 2 7 5 2" xfId="6426"/>
    <cellStyle name="Normal 2 7 6" xfId="6427"/>
    <cellStyle name="Normal 2 7 7" xfId="6428"/>
    <cellStyle name="Normal 2 8" xfId="6429"/>
    <cellStyle name="Normal 2 8 2" xfId="6430"/>
    <cellStyle name="Normal 2 8 2 2" xfId="6431"/>
    <cellStyle name="Normal 2 8 2 2 2" xfId="6432"/>
    <cellStyle name="Normal 2 8 2 3" xfId="6433"/>
    <cellStyle name="Normal 2 8 3" xfId="6434"/>
    <cellStyle name="Normal 2 8 3 2" xfId="6435"/>
    <cellStyle name="Normal 2 8 4" xfId="6436"/>
    <cellStyle name="Normal 2 8 4 2" xfId="6437"/>
    <cellStyle name="Normal 2 8 5" xfId="6438"/>
    <cellStyle name="Normal 2 8 5 2" xfId="6439"/>
    <cellStyle name="Normal 2 8 6" xfId="6440"/>
    <cellStyle name="Normal 2 8 7" xfId="6441"/>
    <cellStyle name="Normal 2 9" xfId="6442"/>
    <cellStyle name="Normal 2 9 2" xfId="6443"/>
    <cellStyle name="Normal 2 9 2 2" xfId="6444"/>
    <cellStyle name="Normal 2 9 3" xfId="6445"/>
    <cellStyle name="Normal 2 9 3 2" xfId="6446"/>
    <cellStyle name="Normal 2 9 4" xfId="6447"/>
    <cellStyle name="Normal 2 9 4 2" xfId="6448"/>
    <cellStyle name="Normal 2 9 5" xfId="6449"/>
    <cellStyle name="Normal 2 9 5 2" xfId="6450"/>
    <cellStyle name="Normal 2 9 6" xfId="6451"/>
    <cellStyle name="Normal 2 9 7" xfId="6452"/>
    <cellStyle name="Normal 2_2009 Regulated Price Out" xfId="6453"/>
    <cellStyle name="Normal 20" xfId="6454"/>
    <cellStyle name="Normal 20 2" xfId="6455"/>
    <cellStyle name="Normal 20 2 2" xfId="6456"/>
    <cellStyle name="Normal 20 2 2 2" xfId="6457"/>
    <cellStyle name="Normal 20 2 3" xfId="6458"/>
    <cellStyle name="Normal 20 2 3 2" xfId="6459"/>
    <cellStyle name="Normal 20 2 4" xfId="6460"/>
    <cellStyle name="Normal 20 2 4 2" xfId="6461"/>
    <cellStyle name="Normal 20 2 5" xfId="6462"/>
    <cellStyle name="Normal 20 2 6" xfId="6463"/>
    <cellStyle name="Normal 20 3" xfId="6464"/>
    <cellStyle name="Normal 20 3 2" xfId="6465"/>
    <cellStyle name="Normal 20 3 3" xfId="6466"/>
    <cellStyle name="Normal 20 4" xfId="6467"/>
    <cellStyle name="Normal 20 4 2" xfId="6468"/>
    <cellStyle name="Normal 20 4 2 2" xfId="6469"/>
    <cellStyle name="Normal 20 4 3" xfId="6470"/>
    <cellStyle name="Normal 20 5" xfId="6471"/>
    <cellStyle name="Normal 20 5 2" xfId="6472"/>
    <cellStyle name="Normal 20 5 3" xfId="6473"/>
    <cellStyle name="Normal 20 6" xfId="6474"/>
    <cellStyle name="Normal 20 6 2" xfId="6475"/>
    <cellStyle name="Normal 20 7" xfId="6476"/>
    <cellStyle name="Normal 20 7 2" xfId="6477"/>
    <cellStyle name="Normal 20 8" xfId="6478"/>
    <cellStyle name="Normal 20 9" xfId="6479"/>
    <cellStyle name="Normal 21" xfId="6480"/>
    <cellStyle name="Normal 21 2" xfId="6481"/>
    <cellStyle name="Normal 21 2 2" xfId="6482"/>
    <cellStyle name="Normal 21 2 2 2" xfId="6483"/>
    <cellStyle name="Normal 21 2 3" xfId="6484"/>
    <cellStyle name="Normal 21 2 3 2" xfId="6485"/>
    <cellStyle name="Normal 21 2 4" xfId="6486"/>
    <cellStyle name="Normal 21 2 4 2" xfId="6487"/>
    <cellStyle name="Normal 21 2 5" xfId="6488"/>
    <cellStyle name="Normal 21 2 6" xfId="6489"/>
    <cellStyle name="Normal 21 3" xfId="6490"/>
    <cellStyle name="Normal 21 3 2" xfId="6491"/>
    <cellStyle name="Normal 21 3 2 2" xfId="6492"/>
    <cellStyle name="Normal 21 3 3" xfId="6493"/>
    <cellStyle name="Normal 21 4" xfId="6494"/>
    <cellStyle name="Normal 21 4 2" xfId="6495"/>
    <cellStyle name="Normal 21 4 3" xfId="6496"/>
    <cellStyle name="Normal 21 5" xfId="6497"/>
    <cellStyle name="Normal 21 5 2" xfId="6498"/>
    <cellStyle name="Normal 21 6" xfId="6499"/>
    <cellStyle name="Normal 21 7" xfId="6500"/>
    <cellStyle name="Normal 22" xfId="6501"/>
    <cellStyle name="Normal 22 2" xfId="6502"/>
    <cellStyle name="Normal 22 2 2" xfId="6503"/>
    <cellStyle name="Normal 22 2 2 2" xfId="6504"/>
    <cellStyle name="Normal 22 2 3" xfId="6505"/>
    <cellStyle name="Normal 22 2 3 2" xfId="6506"/>
    <cellStyle name="Normal 22 2 4" xfId="6507"/>
    <cellStyle name="Normal 22 2 5" xfId="6508"/>
    <cellStyle name="Normal 22 3" xfId="6509"/>
    <cellStyle name="Normal 22 3 2" xfId="6510"/>
    <cellStyle name="Normal 22 3 2 2" xfId="6511"/>
    <cellStyle name="Normal 22 3 3" xfId="6512"/>
    <cellStyle name="Normal 22 4" xfId="6513"/>
    <cellStyle name="Normal 22 4 2" xfId="6514"/>
    <cellStyle name="Normal 22 4 3" xfId="6515"/>
    <cellStyle name="Normal 22 5" xfId="6516"/>
    <cellStyle name="Normal 22 5 2" xfId="6517"/>
    <cellStyle name="Normal 22 6" xfId="6518"/>
    <cellStyle name="Normal 22 7" xfId="6519"/>
    <cellStyle name="Normal 23" xfId="6520"/>
    <cellStyle name="Normal 23 2" xfId="6521"/>
    <cellStyle name="Normal 23 2 2" xfId="6522"/>
    <cellStyle name="Normal 23 2 2 2" xfId="6523"/>
    <cellStyle name="Normal 23 2 3" xfId="6524"/>
    <cellStyle name="Normal 23 2 3 2" xfId="6525"/>
    <cellStyle name="Normal 23 2 4" xfId="6526"/>
    <cellStyle name="Normal 23 2 5" xfId="6527"/>
    <cellStyle name="Normal 23 3" xfId="6528"/>
    <cellStyle name="Normal 23 3 2" xfId="6529"/>
    <cellStyle name="Normal 23 3 2 2" xfId="6530"/>
    <cellStyle name="Normal 23 3 3" xfId="6531"/>
    <cellStyle name="Normal 23 3 3 2" xfId="6532"/>
    <cellStyle name="Normal 23 3 4" xfId="6533"/>
    <cellStyle name="Normal 23 4" xfId="6534"/>
    <cellStyle name="Normal 23 4 2" xfId="6535"/>
    <cellStyle name="Normal 23 4 3" xfId="6536"/>
    <cellStyle name="Normal 23 5" xfId="6537"/>
    <cellStyle name="Normal 23 6" xfId="6538"/>
    <cellStyle name="Normal 24" xfId="6539"/>
    <cellStyle name="Normal 24 2" xfId="6540"/>
    <cellStyle name="Normal 24 2 2" xfId="6541"/>
    <cellStyle name="Normal 24 2 2 2" xfId="6542"/>
    <cellStyle name="Normal 24 2 3" xfId="6543"/>
    <cellStyle name="Normal 24 2 3 2" xfId="6544"/>
    <cellStyle name="Normal 24 2 4" xfId="6545"/>
    <cellStyle name="Normal 24 2 5" xfId="6546"/>
    <cellStyle name="Normal 24 3" xfId="6547"/>
    <cellStyle name="Normal 24 3 2" xfId="6548"/>
    <cellStyle name="Normal 24 3 2 2" xfId="6549"/>
    <cellStyle name="Normal 24 3 3" xfId="6550"/>
    <cellStyle name="Normal 24 4" xfId="6551"/>
    <cellStyle name="Normal 24 4 2" xfId="6552"/>
    <cellStyle name="Normal 24 4 3" xfId="6553"/>
    <cellStyle name="Normal 24 5" xfId="6554"/>
    <cellStyle name="Normal 24 5 2" xfId="6555"/>
    <cellStyle name="Normal 24 6" xfId="6556"/>
    <cellStyle name="Normal 24 7" xfId="6557"/>
    <cellStyle name="Normal 25" xfId="6558"/>
    <cellStyle name="Normal 25 2" xfId="6559"/>
    <cellStyle name="Normal 25 2 2" xfId="6560"/>
    <cellStyle name="Normal 25 2 2 2" xfId="6561"/>
    <cellStyle name="Normal 25 2 3" xfId="6562"/>
    <cellStyle name="Normal 25 2 3 2" xfId="6563"/>
    <cellStyle name="Normal 25 2 4" xfId="6564"/>
    <cellStyle name="Normal 25 3" xfId="6565"/>
    <cellStyle name="Normal 25 3 2" xfId="6566"/>
    <cellStyle name="Normal 25 3 2 2" xfId="6567"/>
    <cellStyle name="Normal 25 3 3" xfId="6568"/>
    <cellStyle name="Normal 25 3 4" xfId="6569"/>
    <cellStyle name="Normal 25 4" xfId="6570"/>
    <cellStyle name="Normal 25 4 2" xfId="6571"/>
    <cellStyle name="Normal 25 5" xfId="6572"/>
    <cellStyle name="Normal 25 6" xfId="6573"/>
    <cellStyle name="Normal 26" xfId="6574"/>
    <cellStyle name="Normal 26 2" xfId="6575"/>
    <cellStyle name="Normal 26 2 2" xfId="6576"/>
    <cellStyle name="Normal 26 2 2 2" xfId="6577"/>
    <cellStyle name="Normal 26 2 3" xfId="6578"/>
    <cellStyle name="Normal 26 2 3 2" xfId="6579"/>
    <cellStyle name="Normal 26 2 4" xfId="6580"/>
    <cellStyle name="Normal 26 2 5" xfId="6581"/>
    <cellStyle name="Normal 26 3" xfId="6582"/>
    <cellStyle name="Normal 26 3 2" xfId="6583"/>
    <cellStyle name="Normal 26 4" xfId="6584"/>
    <cellStyle name="Normal 26 4 2" xfId="6585"/>
    <cellStyle name="Normal 26 5" xfId="6586"/>
    <cellStyle name="Normal 26 6" xfId="6587"/>
    <cellStyle name="Normal 27" xfId="6588"/>
    <cellStyle name="Normal 27 2" xfId="6589"/>
    <cellStyle name="Normal 27 2 2" xfId="6590"/>
    <cellStyle name="Normal 27 2 2 2" xfId="6591"/>
    <cellStyle name="Normal 27 2 2 2 2" xfId="6592"/>
    <cellStyle name="Normal 27 2 2 3" xfId="6593"/>
    <cellStyle name="Normal 27 2 3" xfId="6594"/>
    <cellStyle name="Normal 27 2 4" xfId="6595"/>
    <cellStyle name="Normal 27 3" xfId="6596"/>
    <cellStyle name="Normal 27 3 2" xfId="6597"/>
    <cellStyle name="Normal 27 3 2 2" xfId="6598"/>
    <cellStyle name="Normal 27 3 3" xfId="6599"/>
    <cellStyle name="Normal 27 3 3 2" xfId="6600"/>
    <cellStyle name="Normal 27 3 4" xfId="6601"/>
    <cellStyle name="Normal 27 3 5" xfId="6602"/>
    <cellStyle name="Normal 27 4" xfId="6603"/>
    <cellStyle name="Normal 27 4 2" xfId="6604"/>
    <cellStyle name="Normal 27 4 3" xfId="6605"/>
    <cellStyle name="Normal 27 5" xfId="6606"/>
    <cellStyle name="Normal 27 5 2" xfId="6607"/>
    <cellStyle name="Normal 27 6" xfId="6608"/>
    <cellStyle name="Normal 27 7" xfId="6609"/>
    <cellStyle name="Normal 28" xfId="6610"/>
    <cellStyle name="Normal 28 2" xfId="6611"/>
    <cellStyle name="Normal 28 2 2" xfId="6612"/>
    <cellStyle name="Normal 28 2 2 2" xfId="6613"/>
    <cellStyle name="Normal 28 2 3" xfId="6614"/>
    <cellStyle name="Normal 28 2 3 2" xfId="6615"/>
    <cellStyle name="Normal 28 2 4" xfId="6616"/>
    <cellStyle name="Normal 28 3" xfId="6617"/>
    <cellStyle name="Normal 28 3 2" xfId="6618"/>
    <cellStyle name="Normal 28 4" xfId="6619"/>
    <cellStyle name="Normal 28 4 2" xfId="6620"/>
    <cellStyle name="Normal 28 5" xfId="6621"/>
    <cellStyle name="Normal 28 6" xfId="6622"/>
    <cellStyle name="Normal 29" xfId="6623"/>
    <cellStyle name="Normal 29 2" xfId="6624"/>
    <cellStyle name="Normal 29 2 2" xfId="6625"/>
    <cellStyle name="Normal 29 2 2 2" xfId="6626"/>
    <cellStyle name="Normal 29 2 3" xfId="6627"/>
    <cellStyle name="Normal 29 3" xfId="6628"/>
    <cellStyle name="Normal 29 3 2" xfId="6629"/>
    <cellStyle name="Normal 29 4" xfId="6630"/>
    <cellStyle name="Normal 29 4 2" xfId="6631"/>
    <cellStyle name="Normal 29 5" xfId="6632"/>
    <cellStyle name="Normal 29 6" xfId="6633"/>
    <cellStyle name="Normal 3" xfId="6634"/>
    <cellStyle name="Normal 3 10" xfId="6635"/>
    <cellStyle name="Normal 3 11" xfId="6636"/>
    <cellStyle name="Normal 3 2" xfId="6637"/>
    <cellStyle name="Normal 3 2 10" xfId="6638"/>
    <cellStyle name="Normal 3 2 2" xfId="6639"/>
    <cellStyle name="Normal 3 2 2 2" xfId="6640"/>
    <cellStyle name="Normal 3 2 2 2 2" xfId="6641"/>
    <cellStyle name="Normal 3 2 2 2 2 2" xfId="6642"/>
    <cellStyle name="Normal 3 2 2 2 2 2 2" xfId="6643"/>
    <cellStyle name="Normal 3 2 2 2 2 3" xfId="6644"/>
    <cellStyle name="Normal 3 2 2 2 3" xfId="6645"/>
    <cellStyle name="Normal 3 2 2 2 3 2" xfId="6646"/>
    <cellStyle name="Normal 3 2 2 2 3 2 2" xfId="6647"/>
    <cellStyle name="Normal 3 2 2 2 3 3" xfId="6648"/>
    <cellStyle name="Normal 3 2 2 2 4" xfId="6649"/>
    <cellStyle name="Normal 3 2 2 2 4 2" xfId="6650"/>
    <cellStyle name="Normal 3 2 2 2 5" xfId="6651"/>
    <cellStyle name="Normal 3 2 2 3" xfId="6652"/>
    <cellStyle name="Normal 3 2 2 3 2" xfId="6653"/>
    <cellStyle name="Normal 3 2 2 3 2 2" xfId="6654"/>
    <cellStyle name="Normal 3 2 2 3 3" xfId="6655"/>
    <cellStyle name="Normal 3 2 2 3 3 2" xfId="6656"/>
    <cellStyle name="Normal 3 2 2 3 4" xfId="6657"/>
    <cellStyle name="Normal 3 2 2 4" xfId="6658"/>
    <cellStyle name="Normal 3 2 2 4 2" xfId="6659"/>
    <cellStyle name="Normal 3 2 2 4 2 2" xfId="6660"/>
    <cellStyle name="Normal 3 2 2 4 3" xfId="6661"/>
    <cellStyle name="Normal 3 2 2 5" xfId="6662"/>
    <cellStyle name="Normal 3 2 2 5 2" xfId="6663"/>
    <cellStyle name="Normal 3 2 2 6" xfId="6664"/>
    <cellStyle name="Normal 3 2 2 6 2" xfId="6665"/>
    <cellStyle name="Normal 3 2 2 7" xfId="6666"/>
    <cellStyle name="Normal 3 2 2 7 2" xfId="6667"/>
    <cellStyle name="Normal 3 2 2 8" xfId="6668"/>
    <cellStyle name="Normal 3 2 2 9" xfId="6669"/>
    <cellStyle name="Normal 3 2 3" xfId="6670"/>
    <cellStyle name="Normal 3 2 3 2" xfId="6671"/>
    <cellStyle name="Normal 3 2 3 2 2" xfId="6672"/>
    <cellStyle name="Normal 3 2 3 2 2 2" xfId="6673"/>
    <cellStyle name="Normal 3 2 3 2 3" xfId="6674"/>
    <cellStyle name="Normal 3 2 3 3" xfId="6675"/>
    <cellStyle name="Normal 3 2 3 3 2" xfId="6676"/>
    <cellStyle name="Normal 3 2 3 3 2 2" xfId="6677"/>
    <cellStyle name="Normal 3 2 3 3 3" xfId="6678"/>
    <cellStyle name="Normal 3 2 3 4" xfId="6679"/>
    <cellStyle name="Normal 3 2 3 4 2" xfId="6680"/>
    <cellStyle name="Normal 3 2 3 5" xfId="6681"/>
    <cellStyle name="Normal 3 2 3 5 2" xfId="6682"/>
    <cellStyle name="Normal 3 2 3 6" xfId="6683"/>
    <cellStyle name="Normal 3 2 4" xfId="6684"/>
    <cellStyle name="Normal 3 2 4 2" xfId="6685"/>
    <cellStyle name="Normal 3 2 4 2 2" xfId="6686"/>
    <cellStyle name="Normal 3 2 4 3" xfId="6687"/>
    <cellStyle name="Normal 3 2 4 3 2" xfId="6688"/>
    <cellStyle name="Normal 3 2 4 4" xfId="6689"/>
    <cellStyle name="Normal 3 2 5" xfId="6690"/>
    <cellStyle name="Normal 3 2 5 2" xfId="6691"/>
    <cellStyle name="Normal 3 2 5 2 2" xfId="6692"/>
    <cellStyle name="Normal 3 2 5 3" xfId="6693"/>
    <cellStyle name="Normal 3 2 5 3 2" xfId="6694"/>
    <cellStyle name="Normal 3 2 5 4" xfId="6695"/>
    <cellStyle name="Normal 3 2 6" xfId="6696"/>
    <cellStyle name="Normal 3 2 6 2" xfId="6697"/>
    <cellStyle name="Normal 3 2 7" xfId="6698"/>
    <cellStyle name="Normal 3 2 7 2" xfId="6699"/>
    <cellStyle name="Normal 3 2 8" xfId="6700"/>
    <cellStyle name="Normal 3 2 8 2" xfId="6701"/>
    <cellStyle name="Normal 3 2 9" xfId="6702"/>
    <cellStyle name="Normal 3 3" xfId="6703"/>
    <cellStyle name="Normal 3 3 2" xfId="6704"/>
    <cellStyle name="Normal 3 3 2 2" xfId="6705"/>
    <cellStyle name="Normal 3 3 2 2 2" xfId="6706"/>
    <cellStyle name="Normal 3 3 2 3" xfId="6707"/>
    <cellStyle name="Normal 3 3 2 4" xfId="6708"/>
    <cellStyle name="Normal 3 3 3" xfId="6709"/>
    <cellStyle name="Normal 3 3 3 2" xfId="6710"/>
    <cellStyle name="Normal 3 3 3 2 2" xfId="6711"/>
    <cellStyle name="Normal 3 3 3 3" xfId="6712"/>
    <cellStyle name="Normal 3 3 4" xfId="6713"/>
    <cellStyle name="Normal 3 3 4 2" xfId="6714"/>
    <cellStyle name="Normal 3 3 4 2 2" xfId="6715"/>
    <cellStyle name="Normal 3 3 4 3" xfId="6716"/>
    <cellStyle name="Normal 3 3 5" xfId="6717"/>
    <cellStyle name="Normal 3 3 5 2" xfId="6718"/>
    <cellStyle name="Normal 3 3 6" xfId="6719"/>
    <cellStyle name="Normal 3 4" xfId="6720"/>
    <cellStyle name="Normal 3 4 2" xfId="6721"/>
    <cellStyle name="Normal 3 4 2 2" xfId="6722"/>
    <cellStyle name="Normal 3 4 3" xfId="6723"/>
    <cellStyle name="Normal 3 4 3 2" xfId="6724"/>
    <cellStyle name="Normal 3 4 4" xfId="6725"/>
    <cellStyle name="Normal 3 4 4 2" xfId="6726"/>
    <cellStyle name="Normal 3 4 5" xfId="6727"/>
    <cellStyle name="Normal 3 4 6" xfId="6728"/>
    <cellStyle name="Normal 3 5" xfId="6729"/>
    <cellStyle name="Normal 3 5 2" xfId="6730"/>
    <cellStyle name="Normal 3 5 2 2" xfId="6731"/>
    <cellStyle name="Normal 3 5 3" xfId="6732"/>
    <cellStyle name="Normal 3 5 4" xfId="6733"/>
    <cellStyle name="Normal 3 6" xfId="6734"/>
    <cellStyle name="Normal 3 6 2" xfId="6735"/>
    <cellStyle name="Normal 3 7" xfId="6736"/>
    <cellStyle name="Normal 3 7 2" xfId="6737"/>
    <cellStyle name="Normal 3 8" xfId="6738"/>
    <cellStyle name="Normal 3 9" xfId="6739"/>
    <cellStyle name="Normal 3_10051" xfId="6740"/>
    <cellStyle name="Normal 30" xfId="6741"/>
    <cellStyle name="Normal 30 2" xfId="6742"/>
    <cellStyle name="Normal 30 2 2" xfId="6743"/>
    <cellStyle name="Normal 30 3" xfId="6744"/>
    <cellStyle name="Normal 30 3 2" xfId="6745"/>
    <cellStyle name="Normal 30 4" xfId="6746"/>
    <cellStyle name="Normal 30 4 2" xfId="6747"/>
    <cellStyle name="Normal 30 5" xfId="6748"/>
    <cellStyle name="Normal 30 6" xfId="6749"/>
    <cellStyle name="Normal 31" xfId="6750"/>
    <cellStyle name="Normal 31 10" xfId="6751"/>
    <cellStyle name="Normal 31 2" xfId="6752"/>
    <cellStyle name="Normal 31 2 2" xfId="6753"/>
    <cellStyle name="Normal 31 2 2 2" xfId="6754"/>
    <cellStyle name="Normal 31 2 2 2 2" xfId="6755"/>
    <cellStyle name="Normal 31 2 2 2 2 2" xfId="6756"/>
    <cellStyle name="Normal 31 2 2 2 2 2 2" xfId="6757"/>
    <cellStyle name="Normal 31 2 2 2 2 2 2 2" xfId="6758"/>
    <cellStyle name="Normal 31 2 2 2 2 2 3" xfId="6759"/>
    <cellStyle name="Normal 31 2 2 2 2 3" xfId="6760"/>
    <cellStyle name="Normal 31 2 2 2 2 3 2" xfId="6761"/>
    <cellStyle name="Normal 31 2 2 2 2 3 2 2" xfId="6762"/>
    <cellStyle name="Normal 31 2 2 2 2 3 3" xfId="6763"/>
    <cellStyle name="Normal 31 2 2 2 2 4" xfId="6764"/>
    <cellStyle name="Normal 31 2 2 2 2 4 2" xfId="6765"/>
    <cellStyle name="Normal 31 2 2 2 2 5" xfId="6766"/>
    <cellStyle name="Normal 31 2 2 2 3" xfId="6767"/>
    <cellStyle name="Normal 31 2 2 2 3 2" xfId="6768"/>
    <cellStyle name="Normal 31 2 2 2 3 2 2" xfId="6769"/>
    <cellStyle name="Normal 31 2 2 2 3 3" xfId="6770"/>
    <cellStyle name="Normal 31 2 2 2 4" xfId="6771"/>
    <cellStyle name="Normal 31 2 2 2 4 2" xfId="6772"/>
    <cellStyle name="Normal 31 2 2 2 4 2 2" xfId="6773"/>
    <cellStyle name="Normal 31 2 2 2 4 3" xfId="6774"/>
    <cellStyle name="Normal 31 2 2 2 5" xfId="6775"/>
    <cellStyle name="Normal 31 2 2 2 5 2" xfId="6776"/>
    <cellStyle name="Normal 31 2 2 2 6" xfId="6777"/>
    <cellStyle name="Normal 31 2 2 3" xfId="6778"/>
    <cellStyle name="Normal 31 2 2 3 2" xfId="6779"/>
    <cellStyle name="Normal 31 2 2 3 2 2" xfId="6780"/>
    <cellStyle name="Normal 31 2 2 3 2 2 2" xfId="6781"/>
    <cellStyle name="Normal 31 2 2 3 2 3" xfId="6782"/>
    <cellStyle name="Normal 31 2 2 3 3" xfId="6783"/>
    <cellStyle name="Normal 31 2 2 3 3 2" xfId="6784"/>
    <cellStyle name="Normal 31 2 2 3 3 2 2" xfId="6785"/>
    <cellStyle name="Normal 31 2 2 3 3 3" xfId="6786"/>
    <cellStyle name="Normal 31 2 2 3 4" xfId="6787"/>
    <cellStyle name="Normal 31 2 2 3 4 2" xfId="6788"/>
    <cellStyle name="Normal 31 2 2 3 5" xfId="6789"/>
    <cellStyle name="Normal 31 2 2 4" xfId="6790"/>
    <cellStyle name="Normal 31 2 2 4 2" xfId="6791"/>
    <cellStyle name="Normal 31 2 2 4 2 2" xfId="6792"/>
    <cellStyle name="Normal 31 2 2 4 3" xfId="6793"/>
    <cellStyle name="Normal 31 2 2 5" xfId="6794"/>
    <cellStyle name="Normal 31 2 2 5 2" xfId="6795"/>
    <cellStyle name="Normal 31 2 2 5 2 2" xfId="6796"/>
    <cellStyle name="Normal 31 2 2 5 3" xfId="6797"/>
    <cellStyle name="Normal 31 2 2 6" xfId="6798"/>
    <cellStyle name="Normal 31 2 2 6 2" xfId="6799"/>
    <cellStyle name="Normal 31 2 2 7" xfId="6800"/>
    <cellStyle name="Normal 31 2 3" xfId="6801"/>
    <cellStyle name="Normal 31 2 3 2" xfId="6802"/>
    <cellStyle name="Normal 31 2 3 2 2" xfId="6803"/>
    <cellStyle name="Normal 31 2 3 2 2 2" xfId="6804"/>
    <cellStyle name="Normal 31 2 3 2 2 2 2" xfId="6805"/>
    <cellStyle name="Normal 31 2 3 2 2 3" xfId="6806"/>
    <cellStyle name="Normal 31 2 3 2 3" xfId="6807"/>
    <cellStyle name="Normal 31 2 3 2 3 2" xfId="6808"/>
    <cellStyle name="Normal 31 2 3 2 3 2 2" xfId="6809"/>
    <cellStyle name="Normal 31 2 3 2 3 3" xfId="6810"/>
    <cellStyle name="Normal 31 2 3 2 4" xfId="6811"/>
    <cellStyle name="Normal 31 2 3 2 4 2" xfId="6812"/>
    <cellStyle name="Normal 31 2 3 2 5" xfId="6813"/>
    <cellStyle name="Normal 31 2 3 3" xfId="6814"/>
    <cellStyle name="Normal 31 2 3 3 2" xfId="6815"/>
    <cellStyle name="Normal 31 2 3 3 2 2" xfId="6816"/>
    <cellStyle name="Normal 31 2 3 3 3" xfId="6817"/>
    <cellStyle name="Normal 31 2 3 4" xfId="6818"/>
    <cellStyle name="Normal 31 2 3 4 2" xfId="6819"/>
    <cellStyle name="Normal 31 2 3 4 2 2" xfId="6820"/>
    <cellStyle name="Normal 31 2 3 4 3" xfId="6821"/>
    <cellStyle name="Normal 31 2 3 5" xfId="6822"/>
    <cellStyle name="Normal 31 2 3 5 2" xfId="6823"/>
    <cellStyle name="Normal 31 2 3 6" xfId="6824"/>
    <cellStyle name="Normal 31 2 4" xfId="6825"/>
    <cellStyle name="Normal 31 2 4 2" xfId="6826"/>
    <cellStyle name="Normal 31 2 4 2 2" xfId="6827"/>
    <cellStyle name="Normal 31 2 4 2 2 2" xfId="6828"/>
    <cellStyle name="Normal 31 2 4 2 3" xfId="6829"/>
    <cellStyle name="Normal 31 2 4 3" xfId="6830"/>
    <cellStyle name="Normal 31 2 4 3 2" xfId="6831"/>
    <cellStyle name="Normal 31 2 4 3 2 2" xfId="6832"/>
    <cellStyle name="Normal 31 2 4 3 3" xfId="6833"/>
    <cellStyle name="Normal 31 2 4 4" xfId="6834"/>
    <cellStyle name="Normal 31 2 4 4 2" xfId="6835"/>
    <cellStyle name="Normal 31 2 4 5" xfId="6836"/>
    <cellStyle name="Normal 31 2 5" xfId="6837"/>
    <cellStyle name="Normal 31 2 5 2" xfId="6838"/>
    <cellStyle name="Normal 31 2 5 2 2" xfId="6839"/>
    <cellStyle name="Normal 31 2 5 3" xfId="6840"/>
    <cellStyle name="Normal 31 2 6" xfId="6841"/>
    <cellStyle name="Normal 31 2 6 2" xfId="6842"/>
    <cellStyle name="Normal 31 2 6 2 2" xfId="6843"/>
    <cellStyle name="Normal 31 2 6 3" xfId="6844"/>
    <cellStyle name="Normal 31 2 7" xfId="6845"/>
    <cellStyle name="Normal 31 2 7 2" xfId="6846"/>
    <cellStyle name="Normal 31 2 8" xfId="6847"/>
    <cellStyle name="Normal 31 2 9" xfId="6848"/>
    <cellStyle name="Normal 31 3" xfId="6849"/>
    <cellStyle name="Normal 31 3 2" xfId="6850"/>
    <cellStyle name="Normal 31 3 2 2" xfId="6851"/>
    <cellStyle name="Normal 31 3 2 2 2" xfId="6852"/>
    <cellStyle name="Normal 31 3 2 2 2 2" xfId="6853"/>
    <cellStyle name="Normal 31 3 2 2 2 2 2" xfId="6854"/>
    <cellStyle name="Normal 31 3 2 2 2 3" xfId="6855"/>
    <cellStyle name="Normal 31 3 2 2 3" xfId="6856"/>
    <cellStyle name="Normal 31 3 2 2 3 2" xfId="6857"/>
    <cellStyle name="Normal 31 3 2 2 3 2 2" xfId="6858"/>
    <cellStyle name="Normal 31 3 2 2 3 3" xfId="6859"/>
    <cellStyle name="Normal 31 3 2 2 4" xfId="6860"/>
    <cellStyle name="Normal 31 3 2 2 4 2" xfId="6861"/>
    <cellStyle name="Normal 31 3 2 2 5" xfId="6862"/>
    <cellStyle name="Normal 31 3 2 3" xfId="6863"/>
    <cellStyle name="Normal 31 3 2 3 2" xfId="6864"/>
    <cellStyle name="Normal 31 3 2 3 2 2" xfId="6865"/>
    <cellStyle name="Normal 31 3 2 3 3" xfId="6866"/>
    <cellStyle name="Normal 31 3 2 4" xfId="6867"/>
    <cellStyle name="Normal 31 3 2 4 2" xfId="6868"/>
    <cellStyle name="Normal 31 3 2 4 2 2" xfId="6869"/>
    <cellStyle name="Normal 31 3 2 4 3" xfId="6870"/>
    <cellStyle name="Normal 31 3 2 5" xfId="6871"/>
    <cellStyle name="Normal 31 3 2 5 2" xfId="6872"/>
    <cellStyle name="Normal 31 3 2 6" xfId="6873"/>
    <cellStyle name="Normal 31 3 3" xfId="6874"/>
    <cellStyle name="Normal 31 3 3 2" xfId="6875"/>
    <cellStyle name="Normal 31 3 3 2 2" xfId="6876"/>
    <cellStyle name="Normal 31 3 3 2 2 2" xfId="6877"/>
    <cellStyle name="Normal 31 3 3 2 3" xfId="6878"/>
    <cellStyle name="Normal 31 3 3 3" xfId="6879"/>
    <cellStyle name="Normal 31 3 3 3 2" xfId="6880"/>
    <cellStyle name="Normal 31 3 3 3 2 2" xfId="6881"/>
    <cellStyle name="Normal 31 3 3 3 3" xfId="6882"/>
    <cellStyle name="Normal 31 3 3 4" xfId="6883"/>
    <cellStyle name="Normal 31 3 3 4 2" xfId="6884"/>
    <cellStyle name="Normal 31 3 3 5" xfId="6885"/>
    <cellStyle name="Normal 31 3 4" xfId="6886"/>
    <cellStyle name="Normal 31 3 4 2" xfId="6887"/>
    <cellStyle name="Normal 31 3 4 2 2" xfId="6888"/>
    <cellStyle name="Normal 31 3 4 3" xfId="6889"/>
    <cellStyle name="Normal 31 3 5" xfId="6890"/>
    <cellStyle name="Normal 31 3 5 2" xfId="6891"/>
    <cellStyle name="Normal 31 3 5 2 2" xfId="6892"/>
    <cellStyle name="Normal 31 3 5 3" xfId="6893"/>
    <cellStyle name="Normal 31 3 6" xfId="6894"/>
    <cellStyle name="Normal 31 3 6 2" xfId="6895"/>
    <cellStyle name="Normal 31 3 7" xfId="6896"/>
    <cellStyle name="Normal 31 4" xfId="6897"/>
    <cellStyle name="Normal 31 4 2" xfId="6898"/>
    <cellStyle name="Normal 31 4 2 2" xfId="6899"/>
    <cellStyle name="Normal 31 4 2 2 2" xfId="6900"/>
    <cellStyle name="Normal 31 4 2 2 2 2" xfId="6901"/>
    <cellStyle name="Normal 31 4 2 2 3" xfId="6902"/>
    <cellStyle name="Normal 31 4 2 3" xfId="6903"/>
    <cellStyle name="Normal 31 4 2 3 2" xfId="6904"/>
    <cellStyle name="Normal 31 4 2 3 2 2" xfId="6905"/>
    <cellStyle name="Normal 31 4 2 3 3" xfId="6906"/>
    <cellStyle name="Normal 31 4 2 4" xfId="6907"/>
    <cellStyle name="Normal 31 4 2 4 2" xfId="6908"/>
    <cellStyle name="Normal 31 4 2 5" xfId="6909"/>
    <cellStyle name="Normal 31 4 3" xfId="6910"/>
    <cellStyle name="Normal 31 4 3 2" xfId="6911"/>
    <cellStyle name="Normal 31 4 3 2 2" xfId="6912"/>
    <cellStyle name="Normal 31 4 3 3" xfId="6913"/>
    <cellStyle name="Normal 31 4 4" xfId="6914"/>
    <cellStyle name="Normal 31 4 4 2" xfId="6915"/>
    <cellStyle name="Normal 31 4 4 2 2" xfId="6916"/>
    <cellStyle name="Normal 31 4 4 3" xfId="6917"/>
    <cellStyle name="Normal 31 4 5" xfId="6918"/>
    <cellStyle name="Normal 31 4 5 2" xfId="6919"/>
    <cellStyle name="Normal 31 4 6" xfId="6920"/>
    <cellStyle name="Normal 31 5" xfId="6921"/>
    <cellStyle name="Normal 31 5 2" xfId="6922"/>
    <cellStyle name="Normal 31 5 2 2" xfId="6923"/>
    <cellStyle name="Normal 31 5 2 2 2" xfId="6924"/>
    <cellStyle name="Normal 31 5 2 3" xfId="6925"/>
    <cellStyle name="Normal 31 5 3" xfId="6926"/>
    <cellStyle name="Normal 31 5 3 2" xfId="6927"/>
    <cellStyle name="Normal 31 5 3 2 2" xfId="6928"/>
    <cellStyle name="Normal 31 5 3 3" xfId="6929"/>
    <cellStyle name="Normal 31 5 4" xfId="6930"/>
    <cellStyle name="Normal 31 5 4 2" xfId="6931"/>
    <cellStyle name="Normal 31 5 5" xfId="6932"/>
    <cellStyle name="Normal 31 6" xfId="6933"/>
    <cellStyle name="Normal 31 6 2" xfId="6934"/>
    <cellStyle name="Normal 31 6 2 2" xfId="6935"/>
    <cellStyle name="Normal 31 6 3" xfId="6936"/>
    <cellStyle name="Normal 31 7" xfId="6937"/>
    <cellStyle name="Normal 31 7 2" xfId="6938"/>
    <cellStyle name="Normal 31 7 2 2" xfId="6939"/>
    <cellStyle name="Normal 31 7 3" xfId="6940"/>
    <cellStyle name="Normal 31 8" xfId="6941"/>
    <cellStyle name="Normal 31 8 2" xfId="6942"/>
    <cellStyle name="Normal 31 9" xfId="6943"/>
    <cellStyle name="Normal 32" xfId="6944"/>
    <cellStyle name="Normal 32 10" xfId="6945"/>
    <cellStyle name="Normal 32 2" xfId="6946"/>
    <cellStyle name="Normal 32 2 2" xfId="6947"/>
    <cellStyle name="Normal 32 2 2 2" xfId="6948"/>
    <cellStyle name="Normal 32 2 2 2 2" xfId="6949"/>
    <cellStyle name="Normal 32 2 2 2 2 2" xfId="6950"/>
    <cellStyle name="Normal 32 2 2 2 2 2 2" xfId="6951"/>
    <cellStyle name="Normal 32 2 2 2 2 2 2 2" xfId="6952"/>
    <cellStyle name="Normal 32 2 2 2 2 2 3" xfId="6953"/>
    <cellStyle name="Normal 32 2 2 2 2 3" xfId="6954"/>
    <cellStyle name="Normal 32 2 2 2 2 3 2" xfId="6955"/>
    <cellStyle name="Normal 32 2 2 2 2 3 2 2" xfId="6956"/>
    <cellStyle name="Normal 32 2 2 2 2 3 3" xfId="6957"/>
    <cellStyle name="Normal 32 2 2 2 2 4" xfId="6958"/>
    <cellStyle name="Normal 32 2 2 2 2 4 2" xfId="6959"/>
    <cellStyle name="Normal 32 2 2 2 2 5" xfId="6960"/>
    <cellStyle name="Normal 32 2 2 2 3" xfId="6961"/>
    <cellStyle name="Normal 32 2 2 2 3 2" xfId="6962"/>
    <cellStyle name="Normal 32 2 2 2 3 2 2" xfId="6963"/>
    <cellStyle name="Normal 32 2 2 2 3 3" xfId="6964"/>
    <cellStyle name="Normal 32 2 2 2 4" xfId="6965"/>
    <cellStyle name="Normal 32 2 2 2 4 2" xfId="6966"/>
    <cellStyle name="Normal 32 2 2 2 4 2 2" xfId="6967"/>
    <cellStyle name="Normal 32 2 2 2 4 3" xfId="6968"/>
    <cellStyle name="Normal 32 2 2 2 5" xfId="6969"/>
    <cellStyle name="Normal 32 2 2 2 5 2" xfId="6970"/>
    <cellStyle name="Normal 32 2 2 2 6" xfId="6971"/>
    <cellStyle name="Normal 32 2 2 3" xfId="6972"/>
    <cellStyle name="Normal 32 2 2 3 2" xfId="6973"/>
    <cellStyle name="Normal 32 2 2 3 2 2" xfId="6974"/>
    <cellStyle name="Normal 32 2 2 3 2 2 2" xfId="6975"/>
    <cellStyle name="Normal 32 2 2 3 2 3" xfId="6976"/>
    <cellStyle name="Normal 32 2 2 3 3" xfId="6977"/>
    <cellStyle name="Normal 32 2 2 3 3 2" xfId="6978"/>
    <cellStyle name="Normal 32 2 2 3 3 2 2" xfId="6979"/>
    <cellStyle name="Normal 32 2 2 3 3 3" xfId="6980"/>
    <cellStyle name="Normal 32 2 2 3 4" xfId="6981"/>
    <cellStyle name="Normal 32 2 2 3 4 2" xfId="6982"/>
    <cellStyle name="Normal 32 2 2 3 5" xfId="6983"/>
    <cellStyle name="Normal 32 2 2 4" xfId="6984"/>
    <cellStyle name="Normal 32 2 2 4 2" xfId="6985"/>
    <cellStyle name="Normal 32 2 2 4 2 2" xfId="6986"/>
    <cellStyle name="Normal 32 2 2 4 3" xfId="6987"/>
    <cellStyle name="Normal 32 2 2 5" xfId="6988"/>
    <cellStyle name="Normal 32 2 2 5 2" xfId="6989"/>
    <cellStyle name="Normal 32 2 2 5 2 2" xfId="6990"/>
    <cellStyle name="Normal 32 2 2 5 3" xfId="6991"/>
    <cellStyle name="Normal 32 2 2 6" xfId="6992"/>
    <cellStyle name="Normal 32 2 2 6 2" xfId="6993"/>
    <cellStyle name="Normal 32 2 2 7" xfId="6994"/>
    <cellStyle name="Normal 32 2 3" xfId="6995"/>
    <cellStyle name="Normal 32 2 3 2" xfId="6996"/>
    <cellStyle name="Normal 32 2 3 2 2" xfId="6997"/>
    <cellStyle name="Normal 32 2 3 2 2 2" xfId="6998"/>
    <cellStyle name="Normal 32 2 3 2 2 2 2" xfId="6999"/>
    <cellStyle name="Normal 32 2 3 2 2 3" xfId="7000"/>
    <cellStyle name="Normal 32 2 3 2 3" xfId="7001"/>
    <cellStyle name="Normal 32 2 3 2 3 2" xfId="7002"/>
    <cellStyle name="Normal 32 2 3 2 3 2 2" xfId="7003"/>
    <cellStyle name="Normal 32 2 3 2 3 3" xfId="7004"/>
    <cellStyle name="Normal 32 2 3 2 4" xfId="7005"/>
    <cellStyle name="Normal 32 2 3 2 4 2" xfId="7006"/>
    <cellStyle name="Normal 32 2 3 2 5" xfId="7007"/>
    <cellStyle name="Normal 32 2 3 3" xfId="7008"/>
    <cellStyle name="Normal 32 2 3 3 2" xfId="7009"/>
    <cellStyle name="Normal 32 2 3 3 2 2" xfId="7010"/>
    <cellStyle name="Normal 32 2 3 3 3" xfId="7011"/>
    <cellStyle name="Normal 32 2 3 4" xfId="7012"/>
    <cellStyle name="Normal 32 2 3 4 2" xfId="7013"/>
    <cellStyle name="Normal 32 2 3 4 2 2" xfId="7014"/>
    <cellStyle name="Normal 32 2 3 4 3" xfId="7015"/>
    <cellStyle name="Normal 32 2 3 5" xfId="7016"/>
    <cellStyle name="Normal 32 2 3 5 2" xfId="7017"/>
    <cellStyle name="Normal 32 2 3 6" xfId="7018"/>
    <cellStyle name="Normal 32 2 4" xfId="7019"/>
    <cellStyle name="Normal 32 2 4 2" xfId="7020"/>
    <cellStyle name="Normal 32 2 4 2 2" xfId="7021"/>
    <cellStyle name="Normal 32 2 4 2 2 2" xfId="7022"/>
    <cellStyle name="Normal 32 2 4 2 3" xfId="7023"/>
    <cellStyle name="Normal 32 2 4 3" xfId="7024"/>
    <cellStyle name="Normal 32 2 4 3 2" xfId="7025"/>
    <cellStyle name="Normal 32 2 4 3 2 2" xfId="7026"/>
    <cellStyle name="Normal 32 2 4 3 3" xfId="7027"/>
    <cellStyle name="Normal 32 2 4 4" xfId="7028"/>
    <cellStyle name="Normal 32 2 4 4 2" xfId="7029"/>
    <cellStyle name="Normal 32 2 4 5" xfId="7030"/>
    <cellStyle name="Normal 32 2 5" xfId="7031"/>
    <cellStyle name="Normal 32 2 5 2" xfId="7032"/>
    <cellStyle name="Normal 32 2 5 2 2" xfId="7033"/>
    <cellStyle name="Normal 32 2 5 3" xfId="7034"/>
    <cellStyle name="Normal 32 2 6" xfId="7035"/>
    <cellStyle name="Normal 32 2 6 2" xfId="7036"/>
    <cellStyle name="Normal 32 2 6 2 2" xfId="7037"/>
    <cellStyle name="Normal 32 2 6 3" xfId="7038"/>
    <cellStyle name="Normal 32 2 7" xfId="7039"/>
    <cellStyle name="Normal 32 2 7 2" xfId="7040"/>
    <cellStyle name="Normal 32 2 8" xfId="7041"/>
    <cellStyle name="Normal 32 3" xfId="7042"/>
    <cellStyle name="Normal 32 3 2" xfId="7043"/>
    <cellStyle name="Normal 32 3 2 2" xfId="7044"/>
    <cellStyle name="Normal 32 3 2 2 2" xfId="7045"/>
    <cellStyle name="Normal 32 3 2 2 2 2" xfId="7046"/>
    <cellStyle name="Normal 32 3 2 2 2 2 2" xfId="7047"/>
    <cellStyle name="Normal 32 3 2 2 2 3" xfId="7048"/>
    <cellStyle name="Normal 32 3 2 2 3" xfId="7049"/>
    <cellStyle name="Normal 32 3 2 2 3 2" xfId="7050"/>
    <cellStyle name="Normal 32 3 2 2 3 2 2" xfId="7051"/>
    <cellStyle name="Normal 32 3 2 2 3 3" xfId="7052"/>
    <cellStyle name="Normal 32 3 2 2 4" xfId="7053"/>
    <cellStyle name="Normal 32 3 2 2 4 2" xfId="7054"/>
    <cellStyle name="Normal 32 3 2 2 5" xfId="7055"/>
    <cellStyle name="Normal 32 3 2 3" xfId="7056"/>
    <cellStyle name="Normal 32 3 2 3 2" xfId="7057"/>
    <cellStyle name="Normal 32 3 2 3 2 2" xfId="7058"/>
    <cellStyle name="Normal 32 3 2 3 3" xfId="7059"/>
    <cellStyle name="Normal 32 3 2 4" xfId="7060"/>
    <cellStyle name="Normal 32 3 2 4 2" xfId="7061"/>
    <cellStyle name="Normal 32 3 2 4 2 2" xfId="7062"/>
    <cellStyle name="Normal 32 3 2 4 3" xfId="7063"/>
    <cellStyle name="Normal 32 3 2 5" xfId="7064"/>
    <cellStyle name="Normal 32 3 2 5 2" xfId="7065"/>
    <cellStyle name="Normal 32 3 2 6" xfId="7066"/>
    <cellStyle name="Normal 32 3 3" xfId="7067"/>
    <cellStyle name="Normal 32 3 3 2" xfId="7068"/>
    <cellStyle name="Normal 32 3 3 2 2" xfId="7069"/>
    <cellStyle name="Normal 32 3 3 2 2 2" xfId="7070"/>
    <cellStyle name="Normal 32 3 3 2 3" xfId="7071"/>
    <cellStyle name="Normal 32 3 3 3" xfId="7072"/>
    <cellStyle name="Normal 32 3 3 3 2" xfId="7073"/>
    <cellStyle name="Normal 32 3 3 3 2 2" xfId="7074"/>
    <cellStyle name="Normal 32 3 3 3 3" xfId="7075"/>
    <cellStyle name="Normal 32 3 3 4" xfId="7076"/>
    <cellStyle name="Normal 32 3 3 4 2" xfId="7077"/>
    <cellStyle name="Normal 32 3 3 5" xfId="7078"/>
    <cellStyle name="Normal 32 3 4" xfId="7079"/>
    <cellStyle name="Normal 32 3 4 2" xfId="7080"/>
    <cellStyle name="Normal 32 3 4 2 2" xfId="7081"/>
    <cellStyle name="Normal 32 3 4 3" xfId="7082"/>
    <cellStyle name="Normal 32 3 5" xfId="7083"/>
    <cellStyle name="Normal 32 3 5 2" xfId="7084"/>
    <cellStyle name="Normal 32 3 5 2 2" xfId="7085"/>
    <cellStyle name="Normal 32 3 5 3" xfId="7086"/>
    <cellStyle name="Normal 32 3 6" xfId="7087"/>
    <cellStyle name="Normal 32 3 6 2" xfId="7088"/>
    <cellStyle name="Normal 32 3 7" xfId="7089"/>
    <cellStyle name="Normal 32 4" xfId="7090"/>
    <cellStyle name="Normal 32 4 2" xfId="7091"/>
    <cellStyle name="Normal 32 4 2 2" xfId="7092"/>
    <cellStyle name="Normal 32 4 2 2 2" xfId="7093"/>
    <cellStyle name="Normal 32 4 2 2 2 2" xfId="7094"/>
    <cellStyle name="Normal 32 4 2 2 3" xfId="7095"/>
    <cellStyle name="Normal 32 4 2 3" xfId="7096"/>
    <cellStyle name="Normal 32 4 2 3 2" xfId="7097"/>
    <cellStyle name="Normal 32 4 2 3 2 2" xfId="7098"/>
    <cellStyle name="Normal 32 4 2 3 3" xfId="7099"/>
    <cellStyle name="Normal 32 4 2 4" xfId="7100"/>
    <cellStyle name="Normal 32 4 2 4 2" xfId="7101"/>
    <cellStyle name="Normal 32 4 2 5" xfId="7102"/>
    <cellStyle name="Normal 32 4 3" xfId="7103"/>
    <cellStyle name="Normal 32 4 3 2" xfId="7104"/>
    <cellStyle name="Normal 32 4 3 2 2" xfId="7105"/>
    <cellStyle name="Normal 32 4 3 3" xfId="7106"/>
    <cellStyle name="Normal 32 4 4" xfId="7107"/>
    <cellStyle name="Normal 32 4 4 2" xfId="7108"/>
    <cellStyle name="Normal 32 4 4 2 2" xfId="7109"/>
    <cellStyle name="Normal 32 4 4 3" xfId="7110"/>
    <cellStyle name="Normal 32 4 5" xfId="7111"/>
    <cellStyle name="Normal 32 4 5 2" xfId="7112"/>
    <cellStyle name="Normal 32 4 6" xfId="7113"/>
    <cellStyle name="Normal 32 5" xfId="7114"/>
    <cellStyle name="Normal 32 5 2" xfId="7115"/>
    <cellStyle name="Normal 32 5 2 2" xfId="7116"/>
    <cellStyle name="Normal 32 5 2 2 2" xfId="7117"/>
    <cellStyle name="Normal 32 5 2 3" xfId="7118"/>
    <cellStyle name="Normal 32 5 3" xfId="7119"/>
    <cellStyle name="Normal 32 5 3 2" xfId="7120"/>
    <cellStyle name="Normal 32 5 3 2 2" xfId="7121"/>
    <cellStyle name="Normal 32 5 3 3" xfId="7122"/>
    <cellStyle name="Normal 32 5 4" xfId="7123"/>
    <cellStyle name="Normal 32 5 4 2" xfId="7124"/>
    <cellStyle name="Normal 32 5 5" xfId="7125"/>
    <cellStyle name="Normal 32 6" xfId="7126"/>
    <cellStyle name="Normal 32 6 2" xfId="7127"/>
    <cellStyle name="Normal 32 6 2 2" xfId="7128"/>
    <cellStyle name="Normal 32 6 3" xfId="7129"/>
    <cellStyle name="Normal 32 7" xfId="7130"/>
    <cellStyle name="Normal 32 7 2" xfId="7131"/>
    <cellStyle name="Normal 32 7 2 2" xfId="7132"/>
    <cellStyle name="Normal 32 7 3" xfId="7133"/>
    <cellStyle name="Normal 32 8" xfId="7134"/>
    <cellStyle name="Normal 32 8 2" xfId="7135"/>
    <cellStyle name="Normal 32 9" xfId="7136"/>
    <cellStyle name="Normal 33" xfId="7137"/>
    <cellStyle name="Normal 33 2" xfId="7138"/>
    <cellStyle name="Normal 33 2 2" xfId="7139"/>
    <cellStyle name="Normal 33 3" xfId="7140"/>
    <cellStyle name="Normal 33 3 2" xfId="7141"/>
    <cellStyle name="Normal 33 4" xfId="7142"/>
    <cellStyle name="Normal 33 5" xfId="7143"/>
    <cellStyle name="Normal 33 6" xfId="7144"/>
    <cellStyle name="Normal 34" xfId="7145"/>
    <cellStyle name="Normal 34 2" xfId="7146"/>
    <cellStyle name="Normal 34 2 2" xfId="7147"/>
    <cellStyle name="Normal 34 3" xfId="7148"/>
    <cellStyle name="Normal 34 3 2" xfId="7149"/>
    <cellStyle name="Normal 34 4" xfId="7150"/>
    <cellStyle name="Normal 34 5" xfId="7151"/>
    <cellStyle name="Normal 34 6" xfId="7152"/>
    <cellStyle name="Normal 35" xfId="7153"/>
    <cellStyle name="Normal 35 2" xfId="7154"/>
    <cellStyle name="Normal 35 2 2" xfId="7155"/>
    <cellStyle name="Normal 35 2 2 2" xfId="7156"/>
    <cellStyle name="Normal 35 2 2 2 2" xfId="7157"/>
    <cellStyle name="Normal 35 2 2 2 2 2" xfId="7158"/>
    <cellStyle name="Normal 35 2 2 2 2 2 2" xfId="7159"/>
    <cellStyle name="Normal 35 2 2 2 2 3" xfId="7160"/>
    <cellStyle name="Normal 35 2 2 2 3" xfId="7161"/>
    <cellStyle name="Normal 35 2 2 2 3 2" xfId="7162"/>
    <cellStyle name="Normal 35 2 2 2 3 2 2" xfId="7163"/>
    <cellStyle name="Normal 35 2 2 2 3 3" xfId="7164"/>
    <cellStyle name="Normal 35 2 2 2 4" xfId="7165"/>
    <cellStyle name="Normal 35 2 2 2 4 2" xfId="7166"/>
    <cellStyle name="Normal 35 2 2 2 5" xfId="7167"/>
    <cellStyle name="Normal 35 2 2 3" xfId="7168"/>
    <cellStyle name="Normal 35 2 2 3 2" xfId="7169"/>
    <cellStyle name="Normal 35 2 2 3 2 2" xfId="7170"/>
    <cellStyle name="Normal 35 2 2 3 3" xfId="7171"/>
    <cellStyle name="Normal 35 2 2 4" xfId="7172"/>
    <cellStyle name="Normal 35 2 2 4 2" xfId="7173"/>
    <cellStyle name="Normal 35 2 2 4 2 2" xfId="7174"/>
    <cellStyle name="Normal 35 2 2 4 3" xfId="7175"/>
    <cellStyle name="Normal 35 2 2 5" xfId="7176"/>
    <cellStyle name="Normal 35 2 2 5 2" xfId="7177"/>
    <cellStyle name="Normal 35 2 2 6" xfId="7178"/>
    <cellStyle name="Normal 35 2 3" xfId="7179"/>
    <cellStyle name="Normal 35 2 3 2" xfId="7180"/>
    <cellStyle name="Normal 35 2 3 2 2" xfId="7181"/>
    <cellStyle name="Normal 35 2 3 2 2 2" xfId="7182"/>
    <cellStyle name="Normal 35 2 3 2 3" xfId="7183"/>
    <cellStyle name="Normal 35 2 3 3" xfId="7184"/>
    <cellStyle name="Normal 35 2 3 3 2" xfId="7185"/>
    <cellStyle name="Normal 35 2 3 3 2 2" xfId="7186"/>
    <cellStyle name="Normal 35 2 3 3 3" xfId="7187"/>
    <cellStyle name="Normal 35 2 3 4" xfId="7188"/>
    <cellStyle name="Normal 35 2 3 4 2" xfId="7189"/>
    <cellStyle name="Normal 35 2 3 5" xfId="7190"/>
    <cellStyle name="Normal 35 2 4" xfId="7191"/>
    <cellStyle name="Normal 35 2 4 2" xfId="7192"/>
    <cellStyle name="Normal 35 2 4 2 2" xfId="7193"/>
    <cellStyle name="Normal 35 2 4 3" xfId="7194"/>
    <cellStyle name="Normal 35 2 5" xfId="7195"/>
    <cellStyle name="Normal 35 2 5 2" xfId="7196"/>
    <cellStyle name="Normal 35 2 5 2 2" xfId="7197"/>
    <cellStyle name="Normal 35 2 5 3" xfId="7198"/>
    <cellStyle name="Normal 35 2 6" xfId="7199"/>
    <cellStyle name="Normal 35 2 6 2" xfId="7200"/>
    <cellStyle name="Normal 35 2 7" xfId="7201"/>
    <cellStyle name="Normal 35 3" xfId="7202"/>
    <cellStyle name="Normal 35 3 2" xfId="7203"/>
    <cellStyle name="Normal 35 3 2 2" xfId="7204"/>
    <cellStyle name="Normal 35 3 2 2 2" xfId="7205"/>
    <cellStyle name="Normal 35 3 2 2 2 2" xfId="7206"/>
    <cellStyle name="Normal 35 3 2 2 3" xfId="7207"/>
    <cellStyle name="Normal 35 3 2 3" xfId="7208"/>
    <cellStyle name="Normal 35 3 2 3 2" xfId="7209"/>
    <cellStyle name="Normal 35 3 2 3 2 2" xfId="7210"/>
    <cellStyle name="Normal 35 3 2 3 3" xfId="7211"/>
    <cellStyle name="Normal 35 3 2 4" xfId="7212"/>
    <cellStyle name="Normal 35 3 2 4 2" xfId="7213"/>
    <cellStyle name="Normal 35 3 2 5" xfId="7214"/>
    <cellStyle name="Normal 35 3 3" xfId="7215"/>
    <cellStyle name="Normal 35 3 3 2" xfId="7216"/>
    <cellStyle name="Normal 35 3 3 2 2" xfId="7217"/>
    <cellStyle name="Normal 35 3 3 3" xfId="7218"/>
    <cellStyle name="Normal 35 3 4" xfId="7219"/>
    <cellStyle name="Normal 35 3 4 2" xfId="7220"/>
    <cellStyle name="Normal 35 3 4 2 2" xfId="7221"/>
    <cellStyle name="Normal 35 3 4 3" xfId="7222"/>
    <cellStyle name="Normal 35 3 5" xfId="7223"/>
    <cellStyle name="Normal 35 3 5 2" xfId="7224"/>
    <cellStyle name="Normal 35 3 6" xfId="7225"/>
    <cellStyle name="Normal 35 4" xfId="7226"/>
    <cellStyle name="Normal 35 4 2" xfId="7227"/>
    <cellStyle name="Normal 35 4 2 2" xfId="7228"/>
    <cellStyle name="Normal 35 4 2 2 2" xfId="7229"/>
    <cellStyle name="Normal 35 4 2 3" xfId="7230"/>
    <cellStyle name="Normal 35 4 3" xfId="7231"/>
    <cellStyle name="Normal 35 4 3 2" xfId="7232"/>
    <cellStyle name="Normal 35 4 3 2 2" xfId="7233"/>
    <cellStyle name="Normal 35 4 3 3" xfId="7234"/>
    <cellStyle name="Normal 35 4 4" xfId="7235"/>
    <cellStyle name="Normal 35 4 4 2" xfId="7236"/>
    <cellStyle name="Normal 35 4 5" xfId="7237"/>
    <cellStyle name="Normal 35 5" xfId="7238"/>
    <cellStyle name="Normal 35 5 2" xfId="7239"/>
    <cellStyle name="Normal 35 5 2 2" xfId="7240"/>
    <cellStyle name="Normal 35 5 3" xfId="7241"/>
    <cellStyle name="Normal 35 6" xfId="7242"/>
    <cellStyle name="Normal 35 6 2" xfId="7243"/>
    <cellStyle name="Normal 35 6 2 2" xfId="7244"/>
    <cellStyle name="Normal 35 6 3" xfId="7245"/>
    <cellStyle name="Normal 35 7" xfId="7246"/>
    <cellStyle name="Normal 35 7 2" xfId="7247"/>
    <cellStyle name="Normal 35 8" xfId="7248"/>
    <cellStyle name="Normal 35 9" xfId="7249"/>
    <cellStyle name="Normal 36" xfId="7250"/>
    <cellStyle name="Normal 36 2" xfId="7251"/>
    <cellStyle name="Normal 36 2 2" xfId="7252"/>
    <cellStyle name="Normal 36 2 2 2" xfId="7253"/>
    <cellStyle name="Normal 36 2 2 2 2" xfId="7254"/>
    <cellStyle name="Normal 36 2 2 2 2 2" xfId="7255"/>
    <cellStyle name="Normal 36 2 2 2 2 2 2" xfId="7256"/>
    <cellStyle name="Normal 36 2 2 2 2 3" xfId="7257"/>
    <cellStyle name="Normal 36 2 2 2 3" xfId="7258"/>
    <cellStyle name="Normal 36 2 2 2 3 2" xfId="7259"/>
    <cellStyle name="Normal 36 2 2 2 3 2 2" xfId="7260"/>
    <cellStyle name="Normal 36 2 2 2 3 3" xfId="7261"/>
    <cellStyle name="Normal 36 2 2 2 4" xfId="7262"/>
    <cellStyle name="Normal 36 2 2 2 4 2" xfId="7263"/>
    <cellStyle name="Normal 36 2 2 2 5" xfId="7264"/>
    <cellStyle name="Normal 36 2 2 3" xfId="7265"/>
    <cellStyle name="Normal 36 2 2 3 2" xfId="7266"/>
    <cellStyle name="Normal 36 2 2 3 2 2" xfId="7267"/>
    <cellStyle name="Normal 36 2 2 3 3" xfId="7268"/>
    <cellStyle name="Normal 36 2 2 4" xfId="7269"/>
    <cellStyle name="Normal 36 2 2 4 2" xfId="7270"/>
    <cellStyle name="Normal 36 2 2 4 2 2" xfId="7271"/>
    <cellStyle name="Normal 36 2 2 4 3" xfId="7272"/>
    <cellStyle name="Normal 36 2 2 5" xfId="7273"/>
    <cellStyle name="Normal 36 2 2 5 2" xfId="7274"/>
    <cellStyle name="Normal 36 2 2 6" xfId="7275"/>
    <cellStyle name="Normal 36 2 3" xfId="7276"/>
    <cellStyle name="Normal 36 2 3 2" xfId="7277"/>
    <cellStyle name="Normal 36 2 3 2 2" xfId="7278"/>
    <cellStyle name="Normal 36 2 3 2 2 2" xfId="7279"/>
    <cellStyle name="Normal 36 2 3 2 3" xfId="7280"/>
    <cellStyle name="Normal 36 2 3 3" xfId="7281"/>
    <cellStyle name="Normal 36 2 3 3 2" xfId="7282"/>
    <cellStyle name="Normal 36 2 3 3 2 2" xfId="7283"/>
    <cellStyle name="Normal 36 2 3 3 3" xfId="7284"/>
    <cellStyle name="Normal 36 2 3 4" xfId="7285"/>
    <cellStyle name="Normal 36 2 3 4 2" xfId="7286"/>
    <cellStyle name="Normal 36 2 3 5" xfId="7287"/>
    <cellStyle name="Normal 36 2 4" xfId="7288"/>
    <cellStyle name="Normal 36 2 4 2" xfId="7289"/>
    <cellStyle name="Normal 36 2 4 2 2" xfId="7290"/>
    <cellStyle name="Normal 36 2 4 3" xfId="7291"/>
    <cellStyle name="Normal 36 2 5" xfId="7292"/>
    <cellStyle name="Normal 36 2 5 2" xfId="7293"/>
    <cellStyle name="Normal 36 2 5 2 2" xfId="7294"/>
    <cellStyle name="Normal 36 2 5 3" xfId="7295"/>
    <cellStyle name="Normal 36 2 6" xfId="7296"/>
    <cellStyle name="Normal 36 2 6 2" xfId="7297"/>
    <cellStyle name="Normal 36 2 7" xfId="7298"/>
    <cellStyle name="Normal 36 3" xfId="7299"/>
    <cellStyle name="Normal 36 3 2" xfId="7300"/>
    <cellStyle name="Normal 36 3 2 2" xfId="7301"/>
    <cellStyle name="Normal 36 3 2 2 2" xfId="7302"/>
    <cellStyle name="Normal 36 3 2 2 2 2" xfId="7303"/>
    <cellStyle name="Normal 36 3 2 2 3" xfId="7304"/>
    <cellStyle name="Normal 36 3 2 3" xfId="7305"/>
    <cellStyle name="Normal 36 3 2 3 2" xfId="7306"/>
    <cellStyle name="Normal 36 3 2 3 2 2" xfId="7307"/>
    <cellStyle name="Normal 36 3 2 3 3" xfId="7308"/>
    <cellStyle name="Normal 36 3 2 4" xfId="7309"/>
    <cellStyle name="Normal 36 3 2 4 2" xfId="7310"/>
    <cellStyle name="Normal 36 3 2 5" xfId="7311"/>
    <cellStyle name="Normal 36 3 3" xfId="7312"/>
    <cellStyle name="Normal 36 3 3 2" xfId="7313"/>
    <cellStyle name="Normal 36 3 3 2 2" xfId="7314"/>
    <cellStyle name="Normal 36 3 3 3" xfId="7315"/>
    <cellStyle name="Normal 36 3 4" xfId="7316"/>
    <cellStyle name="Normal 36 3 4 2" xfId="7317"/>
    <cellStyle name="Normal 36 3 4 2 2" xfId="7318"/>
    <cellStyle name="Normal 36 3 4 3" xfId="7319"/>
    <cellStyle name="Normal 36 3 5" xfId="7320"/>
    <cellStyle name="Normal 36 3 5 2" xfId="7321"/>
    <cellStyle name="Normal 36 3 6" xfId="7322"/>
    <cellStyle name="Normal 36 4" xfId="7323"/>
    <cellStyle name="Normal 36 4 2" xfId="7324"/>
    <cellStyle name="Normal 36 4 2 2" xfId="7325"/>
    <cellStyle name="Normal 36 4 2 2 2" xfId="7326"/>
    <cellStyle name="Normal 36 4 2 3" xfId="7327"/>
    <cellStyle name="Normal 36 4 3" xfId="7328"/>
    <cellStyle name="Normal 36 4 3 2" xfId="7329"/>
    <cellStyle name="Normal 36 4 3 2 2" xfId="7330"/>
    <cellStyle name="Normal 36 4 3 3" xfId="7331"/>
    <cellStyle name="Normal 36 4 4" xfId="7332"/>
    <cellStyle name="Normal 36 4 4 2" xfId="7333"/>
    <cellStyle name="Normal 36 4 5" xfId="7334"/>
    <cellStyle name="Normal 36 5" xfId="7335"/>
    <cellStyle name="Normal 36 5 2" xfId="7336"/>
    <cellStyle name="Normal 36 5 2 2" xfId="7337"/>
    <cellStyle name="Normal 36 5 3" xfId="7338"/>
    <cellStyle name="Normal 36 6" xfId="7339"/>
    <cellStyle name="Normal 36 6 2" xfId="7340"/>
    <cellStyle name="Normal 36 6 2 2" xfId="7341"/>
    <cellStyle name="Normal 36 6 3" xfId="7342"/>
    <cellStyle name="Normal 36 7" xfId="7343"/>
    <cellStyle name="Normal 36 7 2" xfId="7344"/>
    <cellStyle name="Normal 36 8" xfId="7345"/>
    <cellStyle name="Normal 36 9" xfId="7346"/>
    <cellStyle name="Normal 37" xfId="7347"/>
    <cellStyle name="Normal 37 2" xfId="7348"/>
    <cellStyle name="Normal 37 2 2" xfId="7349"/>
    <cellStyle name="Normal 37 2 2 2" xfId="7350"/>
    <cellStyle name="Normal 37 2 2 2 2" xfId="7351"/>
    <cellStyle name="Normal 37 2 2 2 2 2" xfId="7352"/>
    <cellStyle name="Normal 37 2 2 2 2 2 2" xfId="7353"/>
    <cellStyle name="Normal 37 2 2 2 2 3" xfId="7354"/>
    <cellStyle name="Normal 37 2 2 2 3" xfId="7355"/>
    <cellStyle name="Normal 37 2 2 2 3 2" xfId="7356"/>
    <cellStyle name="Normal 37 2 2 2 3 2 2" xfId="7357"/>
    <cellStyle name="Normal 37 2 2 2 3 3" xfId="7358"/>
    <cellStyle name="Normal 37 2 2 2 4" xfId="7359"/>
    <cellStyle name="Normal 37 2 2 2 4 2" xfId="7360"/>
    <cellStyle name="Normal 37 2 2 2 5" xfId="7361"/>
    <cellStyle name="Normal 37 2 2 3" xfId="7362"/>
    <cellStyle name="Normal 37 2 2 3 2" xfId="7363"/>
    <cellStyle name="Normal 37 2 2 3 2 2" xfId="7364"/>
    <cellStyle name="Normal 37 2 2 3 3" xfId="7365"/>
    <cellStyle name="Normal 37 2 2 4" xfId="7366"/>
    <cellStyle name="Normal 37 2 2 4 2" xfId="7367"/>
    <cellStyle name="Normal 37 2 2 4 2 2" xfId="7368"/>
    <cellStyle name="Normal 37 2 2 4 3" xfId="7369"/>
    <cellStyle name="Normal 37 2 2 5" xfId="7370"/>
    <cellStyle name="Normal 37 2 2 5 2" xfId="7371"/>
    <cellStyle name="Normal 37 2 2 6" xfId="7372"/>
    <cellStyle name="Normal 37 2 3" xfId="7373"/>
    <cellStyle name="Normal 37 2 3 2" xfId="7374"/>
    <cellStyle name="Normal 37 2 3 2 2" xfId="7375"/>
    <cellStyle name="Normal 37 2 3 2 2 2" xfId="7376"/>
    <cellStyle name="Normal 37 2 3 2 3" xfId="7377"/>
    <cellStyle name="Normal 37 2 3 3" xfId="7378"/>
    <cellStyle name="Normal 37 2 3 3 2" xfId="7379"/>
    <cellStyle name="Normal 37 2 3 3 2 2" xfId="7380"/>
    <cellStyle name="Normal 37 2 3 3 3" xfId="7381"/>
    <cellStyle name="Normal 37 2 3 4" xfId="7382"/>
    <cellStyle name="Normal 37 2 3 4 2" xfId="7383"/>
    <cellStyle name="Normal 37 2 3 5" xfId="7384"/>
    <cellStyle name="Normal 37 2 4" xfId="7385"/>
    <cellStyle name="Normal 37 2 4 2" xfId="7386"/>
    <cellStyle name="Normal 37 2 4 2 2" xfId="7387"/>
    <cellStyle name="Normal 37 2 4 3" xfId="7388"/>
    <cellStyle name="Normal 37 2 5" xfId="7389"/>
    <cellStyle name="Normal 37 2 5 2" xfId="7390"/>
    <cellStyle name="Normal 37 2 5 2 2" xfId="7391"/>
    <cellStyle name="Normal 37 2 5 3" xfId="7392"/>
    <cellStyle name="Normal 37 2 6" xfId="7393"/>
    <cellStyle name="Normal 37 2 6 2" xfId="7394"/>
    <cellStyle name="Normal 37 2 7" xfId="7395"/>
    <cellStyle name="Normal 37 3" xfId="7396"/>
    <cellStyle name="Normal 37 3 2" xfId="7397"/>
    <cellStyle name="Normal 37 3 2 2" xfId="7398"/>
    <cellStyle name="Normal 37 3 2 2 2" xfId="7399"/>
    <cellStyle name="Normal 37 3 2 2 2 2" xfId="7400"/>
    <cellStyle name="Normal 37 3 2 2 3" xfId="7401"/>
    <cellStyle name="Normal 37 3 2 3" xfId="7402"/>
    <cellStyle name="Normal 37 3 2 3 2" xfId="7403"/>
    <cellStyle name="Normal 37 3 2 3 2 2" xfId="7404"/>
    <cellStyle name="Normal 37 3 2 3 3" xfId="7405"/>
    <cellStyle name="Normal 37 3 2 4" xfId="7406"/>
    <cellStyle name="Normal 37 3 2 4 2" xfId="7407"/>
    <cellStyle name="Normal 37 3 2 5" xfId="7408"/>
    <cellStyle name="Normal 37 3 3" xfId="7409"/>
    <cellStyle name="Normal 37 3 3 2" xfId="7410"/>
    <cellStyle name="Normal 37 3 3 2 2" xfId="7411"/>
    <cellStyle name="Normal 37 3 3 3" xfId="7412"/>
    <cellStyle name="Normal 37 3 4" xfId="7413"/>
    <cellStyle name="Normal 37 3 4 2" xfId="7414"/>
    <cellStyle name="Normal 37 3 4 2 2" xfId="7415"/>
    <cellStyle name="Normal 37 3 4 3" xfId="7416"/>
    <cellStyle name="Normal 37 3 5" xfId="7417"/>
    <cellStyle name="Normal 37 3 5 2" xfId="7418"/>
    <cellStyle name="Normal 37 3 6" xfId="7419"/>
    <cellStyle name="Normal 37 4" xfId="7420"/>
    <cellStyle name="Normal 37 4 2" xfId="7421"/>
    <cellStyle name="Normal 37 4 2 2" xfId="7422"/>
    <cellStyle name="Normal 37 4 2 2 2" xfId="7423"/>
    <cellStyle name="Normal 37 4 2 3" xfId="7424"/>
    <cellStyle name="Normal 37 4 3" xfId="7425"/>
    <cellStyle name="Normal 37 4 3 2" xfId="7426"/>
    <cellStyle name="Normal 37 4 3 2 2" xfId="7427"/>
    <cellStyle name="Normal 37 4 3 3" xfId="7428"/>
    <cellStyle name="Normal 37 4 4" xfId="7429"/>
    <cellStyle name="Normal 37 4 4 2" xfId="7430"/>
    <cellStyle name="Normal 37 4 5" xfId="7431"/>
    <cellStyle name="Normal 37 5" xfId="7432"/>
    <cellStyle name="Normal 37 5 2" xfId="7433"/>
    <cellStyle name="Normal 37 5 2 2" xfId="7434"/>
    <cellStyle name="Normal 37 5 3" xfId="7435"/>
    <cellStyle name="Normal 37 6" xfId="7436"/>
    <cellStyle name="Normal 37 6 2" xfId="7437"/>
    <cellStyle name="Normal 37 6 2 2" xfId="7438"/>
    <cellStyle name="Normal 37 6 3" xfId="7439"/>
    <cellStyle name="Normal 37 7" xfId="7440"/>
    <cellStyle name="Normal 37 7 2" xfId="7441"/>
    <cellStyle name="Normal 37 8" xfId="7442"/>
    <cellStyle name="Normal 37 9" xfId="7443"/>
    <cellStyle name="Normal 38" xfId="7444"/>
    <cellStyle name="Normal 38 2" xfId="7445"/>
    <cellStyle name="Normal 38 2 2" xfId="7446"/>
    <cellStyle name="Normal 38 2 2 2" xfId="7447"/>
    <cellStyle name="Normal 38 2 2 2 2" xfId="7448"/>
    <cellStyle name="Normal 38 2 2 2 2 2" xfId="7449"/>
    <cellStyle name="Normal 38 2 2 2 2 2 2" xfId="7450"/>
    <cellStyle name="Normal 38 2 2 2 2 3" xfId="7451"/>
    <cellStyle name="Normal 38 2 2 2 3" xfId="7452"/>
    <cellStyle name="Normal 38 2 2 2 3 2" xfId="7453"/>
    <cellStyle name="Normal 38 2 2 2 3 2 2" xfId="7454"/>
    <cellStyle name="Normal 38 2 2 2 3 3" xfId="7455"/>
    <cellStyle name="Normal 38 2 2 2 4" xfId="7456"/>
    <cellStyle name="Normal 38 2 2 2 4 2" xfId="7457"/>
    <cellStyle name="Normal 38 2 2 2 5" xfId="7458"/>
    <cellStyle name="Normal 38 2 2 3" xfId="7459"/>
    <cellStyle name="Normal 38 2 2 3 2" xfId="7460"/>
    <cellStyle name="Normal 38 2 2 3 2 2" xfId="7461"/>
    <cellStyle name="Normal 38 2 2 3 3" xfId="7462"/>
    <cellStyle name="Normal 38 2 2 4" xfId="7463"/>
    <cellStyle name="Normal 38 2 2 4 2" xfId="7464"/>
    <cellStyle name="Normal 38 2 2 4 2 2" xfId="7465"/>
    <cellStyle name="Normal 38 2 2 4 3" xfId="7466"/>
    <cellStyle name="Normal 38 2 2 5" xfId="7467"/>
    <cellStyle name="Normal 38 2 2 5 2" xfId="7468"/>
    <cellStyle name="Normal 38 2 2 6" xfId="7469"/>
    <cellStyle name="Normal 38 2 3" xfId="7470"/>
    <cellStyle name="Normal 38 2 3 2" xfId="7471"/>
    <cellStyle name="Normal 38 2 3 2 2" xfId="7472"/>
    <cellStyle name="Normal 38 2 3 2 2 2" xfId="7473"/>
    <cellStyle name="Normal 38 2 3 2 3" xfId="7474"/>
    <cellStyle name="Normal 38 2 3 3" xfId="7475"/>
    <cellStyle name="Normal 38 2 3 3 2" xfId="7476"/>
    <cellStyle name="Normal 38 2 3 3 2 2" xfId="7477"/>
    <cellStyle name="Normal 38 2 3 3 3" xfId="7478"/>
    <cellStyle name="Normal 38 2 3 4" xfId="7479"/>
    <cellStyle name="Normal 38 2 3 4 2" xfId="7480"/>
    <cellStyle name="Normal 38 2 3 5" xfId="7481"/>
    <cellStyle name="Normal 38 2 4" xfId="7482"/>
    <cellStyle name="Normal 38 2 4 2" xfId="7483"/>
    <cellStyle name="Normal 38 2 4 2 2" xfId="7484"/>
    <cellStyle name="Normal 38 2 4 3" xfId="7485"/>
    <cellStyle name="Normal 38 2 5" xfId="7486"/>
    <cellStyle name="Normal 38 2 5 2" xfId="7487"/>
    <cellStyle name="Normal 38 2 5 2 2" xfId="7488"/>
    <cellStyle name="Normal 38 2 5 3" xfId="7489"/>
    <cellStyle name="Normal 38 2 6" xfId="7490"/>
    <cellStyle name="Normal 38 2 6 2" xfId="7491"/>
    <cellStyle name="Normal 38 2 7" xfId="7492"/>
    <cellStyle name="Normal 38 3" xfId="7493"/>
    <cellStyle name="Normal 38 3 2" xfId="7494"/>
    <cellStyle name="Normal 38 3 2 2" xfId="7495"/>
    <cellStyle name="Normal 38 3 2 2 2" xfId="7496"/>
    <cellStyle name="Normal 38 3 2 2 2 2" xfId="7497"/>
    <cellStyle name="Normal 38 3 2 2 3" xfId="7498"/>
    <cellStyle name="Normal 38 3 2 3" xfId="7499"/>
    <cellStyle name="Normal 38 3 2 3 2" xfId="7500"/>
    <cellStyle name="Normal 38 3 2 3 2 2" xfId="7501"/>
    <cellStyle name="Normal 38 3 2 3 3" xfId="7502"/>
    <cellStyle name="Normal 38 3 2 4" xfId="7503"/>
    <cellStyle name="Normal 38 3 2 4 2" xfId="7504"/>
    <cellStyle name="Normal 38 3 2 5" xfId="7505"/>
    <cellStyle name="Normal 38 3 3" xfId="7506"/>
    <cellStyle name="Normal 38 3 3 2" xfId="7507"/>
    <cellStyle name="Normal 38 3 3 2 2" xfId="7508"/>
    <cellStyle name="Normal 38 3 3 3" xfId="7509"/>
    <cellStyle name="Normal 38 3 4" xfId="7510"/>
    <cellStyle name="Normal 38 3 4 2" xfId="7511"/>
    <cellStyle name="Normal 38 3 4 2 2" xfId="7512"/>
    <cellStyle name="Normal 38 3 4 3" xfId="7513"/>
    <cellStyle name="Normal 38 3 5" xfId="7514"/>
    <cellStyle name="Normal 38 3 5 2" xfId="7515"/>
    <cellStyle name="Normal 38 3 6" xfId="7516"/>
    <cellStyle name="Normal 38 4" xfId="7517"/>
    <cellStyle name="Normal 38 4 2" xfId="7518"/>
    <cellStyle name="Normal 38 4 2 2" xfId="7519"/>
    <cellStyle name="Normal 38 4 2 2 2" xfId="7520"/>
    <cellStyle name="Normal 38 4 2 3" xfId="7521"/>
    <cellStyle name="Normal 38 4 3" xfId="7522"/>
    <cellStyle name="Normal 38 4 3 2" xfId="7523"/>
    <cellStyle name="Normal 38 4 3 2 2" xfId="7524"/>
    <cellStyle name="Normal 38 4 3 3" xfId="7525"/>
    <cellStyle name="Normal 38 4 4" xfId="7526"/>
    <cellStyle name="Normal 38 4 4 2" xfId="7527"/>
    <cellStyle name="Normal 38 4 5" xfId="7528"/>
    <cellStyle name="Normal 38 5" xfId="7529"/>
    <cellStyle name="Normal 38 5 2" xfId="7530"/>
    <cellStyle name="Normal 38 5 2 2" xfId="7531"/>
    <cellStyle name="Normal 38 5 3" xfId="7532"/>
    <cellStyle name="Normal 38 6" xfId="7533"/>
    <cellStyle name="Normal 38 6 2" xfId="7534"/>
    <cellStyle name="Normal 38 6 2 2" xfId="7535"/>
    <cellStyle name="Normal 38 6 3" xfId="7536"/>
    <cellStyle name="Normal 38 7" xfId="7537"/>
    <cellStyle name="Normal 38 7 2" xfId="7538"/>
    <cellStyle name="Normal 38 8" xfId="7539"/>
    <cellStyle name="Normal 38 9" xfId="7540"/>
    <cellStyle name="Normal 39" xfId="7541"/>
    <cellStyle name="Normal 39 2" xfId="7542"/>
    <cellStyle name="Normal 39 2 2" xfId="7543"/>
    <cellStyle name="Normal 39 2 2 2" xfId="7544"/>
    <cellStyle name="Normal 39 2 2 2 2" xfId="7545"/>
    <cellStyle name="Normal 39 2 2 2 2 2" xfId="7546"/>
    <cellStyle name="Normal 39 2 2 2 2 2 2" xfId="7547"/>
    <cellStyle name="Normal 39 2 2 2 2 3" xfId="7548"/>
    <cellStyle name="Normal 39 2 2 2 3" xfId="7549"/>
    <cellStyle name="Normal 39 2 2 2 3 2" xfId="7550"/>
    <cellStyle name="Normal 39 2 2 2 3 2 2" xfId="7551"/>
    <cellStyle name="Normal 39 2 2 2 3 3" xfId="7552"/>
    <cellStyle name="Normal 39 2 2 2 4" xfId="7553"/>
    <cellStyle name="Normal 39 2 2 2 4 2" xfId="7554"/>
    <cellStyle name="Normal 39 2 2 2 5" xfId="7555"/>
    <cellStyle name="Normal 39 2 2 3" xfId="7556"/>
    <cellStyle name="Normal 39 2 2 3 2" xfId="7557"/>
    <cellStyle name="Normal 39 2 2 3 2 2" xfId="7558"/>
    <cellStyle name="Normal 39 2 2 3 3" xfId="7559"/>
    <cellStyle name="Normal 39 2 2 4" xfId="7560"/>
    <cellStyle name="Normal 39 2 2 4 2" xfId="7561"/>
    <cellStyle name="Normal 39 2 2 4 2 2" xfId="7562"/>
    <cellStyle name="Normal 39 2 2 4 3" xfId="7563"/>
    <cellStyle name="Normal 39 2 2 5" xfId="7564"/>
    <cellStyle name="Normal 39 2 2 5 2" xfId="7565"/>
    <cellStyle name="Normal 39 2 2 6" xfId="7566"/>
    <cellStyle name="Normal 39 2 3" xfId="7567"/>
    <cellStyle name="Normal 39 2 3 2" xfId="7568"/>
    <cellStyle name="Normal 39 2 3 2 2" xfId="7569"/>
    <cellStyle name="Normal 39 2 3 2 2 2" xfId="7570"/>
    <cellStyle name="Normal 39 2 3 2 3" xfId="7571"/>
    <cellStyle name="Normal 39 2 3 3" xfId="7572"/>
    <cellStyle name="Normal 39 2 3 3 2" xfId="7573"/>
    <cellStyle name="Normal 39 2 3 3 2 2" xfId="7574"/>
    <cellStyle name="Normal 39 2 3 3 3" xfId="7575"/>
    <cellStyle name="Normal 39 2 3 4" xfId="7576"/>
    <cellStyle name="Normal 39 2 3 4 2" xfId="7577"/>
    <cellStyle name="Normal 39 2 3 5" xfId="7578"/>
    <cellStyle name="Normal 39 2 4" xfId="7579"/>
    <cellStyle name="Normal 39 2 4 2" xfId="7580"/>
    <cellStyle name="Normal 39 2 4 2 2" xfId="7581"/>
    <cellStyle name="Normal 39 2 4 3" xfId="7582"/>
    <cellStyle name="Normal 39 2 5" xfId="7583"/>
    <cellStyle name="Normal 39 2 5 2" xfId="7584"/>
    <cellStyle name="Normal 39 2 5 2 2" xfId="7585"/>
    <cellStyle name="Normal 39 2 5 3" xfId="7586"/>
    <cellStyle name="Normal 39 2 6" xfId="7587"/>
    <cellStyle name="Normal 39 2 6 2" xfId="7588"/>
    <cellStyle name="Normal 39 2 7" xfId="7589"/>
    <cellStyle name="Normal 39 3" xfId="7590"/>
    <cellStyle name="Normal 39 3 2" xfId="7591"/>
    <cellStyle name="Normal 39 3 2 2" xfId="7592"/>
    <cellStyle name="Normal 39 3 2 2 2" xfId="7593"/>
    <cellStyle name="Normal 39 3 2 2 2 2" xfId="7594"/>
    <cellStyle name="Normal 39 3 2 2 3" xfId="7595"/>
    <cellStyle name="Normal 39 3 2 3" xfId="7596"/>
    <cellStyle name="Normal 39 3 2 3 2" xfId="7597"/>
    <cellStyle name="Normal 39 3 2 3 2 2" xfId="7598"/>
    <cellStyle name="Normal 39 3 2 3 3" xfId="7599"/>
    <cellStyle name="Normal 39 3 2 4" xfId="7600"/>
    <cellStyle name="Normal 39 3 2 4 2" xfId="7601"/>
    <cellStyle name="Normal 39 3 2 5" xfId="7602"/>
    <cellStyle name="Normal 39 3 3" xfId="7603"/>
    <cellStyle name="Normal 39 3 3 2" xfId="7604"/>
    <cellStyle name="Normal 39 3 3 2 2" xfId="7605"/>
    <cellStyle name="Normal 39 3 3 3" xfId="7606"/>
    <cellStyle name="Normal 39 3 4" xfId="7607"/>
    <cellStyle name="Normal 39 3 4 2" xfId="7608"/>
    <cellStyle name="Normal 39 3 4 2 2" xfId="7609"/>
    <cellStyle name="Normal 39 3 4 3" xfId="7610"/>
    <cellStyle name="Normal 39 3 5" xfId="7611"/>
    <cellStyle name="Normal 39 3 5 2" xfId="7612"/>
    <cellStyle name="Normal 39 3 6" xfId="7613"/>
    <cellStyle name="Normal 39 4" xfId="7614"/>
    <cellStyle name="Normal 39 4 2" xfId="7615"/>
    <cellStyle name="Normal 39 4 2 2" xfId="7616"/>
    <cellStyle name="Normal 39 4 2 2 2" xfId="7617"/>
    <cellStyle name="Normal 39 4 2 3" xfId="7618"/>
    <cellStyle name="Normal 39 4 3" xfId="7619"/>
    <cellStyle name="Normal 39 4 3 2" xfId="7620"/>
    <cellStyle name="Normal 39 4 3 2 2" xfId="7621"/>
    <cellStyle name="Normal 39 4 3 3" xfId="7622"/>
    <cellStyle name="Normal 39 4 4" xfId="7623"/>
    <cellStyle name="Normal 39 4 4 2" xfId="7624"/>
    <cellStyle name="Normal 39 4 5" xfId="7625"/>
    <cellStyle name="Normal 39 5" xfId="7626"/>
    <cellStyle name="Normal 39 5 2" xfId="7627"/>
    <cellStyle name="Normal 39 5 2 2" xfId="7628"/>
    <cellStyle name="Normal 39 5 3" xfId="7629"/>
    <cellStyle name="Normal 39 6" xfId="7630"/>
    <cellStyle name="Normal 39 6 2" xfId="7631"/>
    <cellStyle name="Normal 39 6 2 2" xfId="7632"/>
    <cellStyle name="Normal 39 6 3" xfId="7633"/>
    <cellStyle name="Normal 39 7" xfId="7634"/>
    <cellStyle name="Normal 39 7 2" xfId="7635"/>
    <cellStyle name="Normal 39 8" xfId="7636"/>
    <cellStyle name="Normal 39 9" xfId="7637"/>
    <cellStyle name="Normal 4" xfId="7638"/>
    <cellStyle name="Normal 4 2" xfId="7639"/>
    <cellStyle name="Normal 4 2 2" xfId="7640"/>
    <cellStyle name="Normal 4 2 2 2" xfId="7641"/>
    <cellStyle name="Normal 4 2 2 2 2" xfId="7642"/>
    <cellStyle name="Normal 4 2 2 2 2 2" xfId="7643"/>
    <cellStyle name="Normal 4 2 2 2 2 2 2" xfId="7644"/>
    <cellStyle name="Normal 4 2 2 2 2 3" xfId="7645"/>
    <cellStyle name="Normal 4 2 2 2 3" xfId="7646"/>
    <cellStyle name="Normal 4 2 2 2 3 2" xfId="7647"/>
    <cellStyle name="Normal 4 2 2 2 3 2 2" xfId="7648"/>
    <cellStyle name="Normal 4 2 2 2 3 3" xfId="7649"/>
    <cellStyle name="Normal 4 2 2 2 4" xfId="7650"/>
    <cellStyle name="Normal 4 2 2 2 4 2" xfId="7651"/>
    <cellStyle name="Normal 4 2 2 2 5" xfId="7652"/>
    <cellStyle name="Normal 4 2 2 3" xfId="7653"/>
    <cellStyle name="Normal 4 2 2 3 2" xfId="7654"/>
    <cellStyle name="Normal 4 2 2 3 2 2" xfId="7655"/>
    <cellStyle name="Normal 4 2 2 3 3" xfId="7656"/>
    <cellStyle name="Normal 4 2 2 4" xfId="7657"/>
    <cellStyle name="Normal 4 2 2 4 2" xfId="7658"/>
    <cellStyle name="Normal 4 2 2 4 2 2" xfId="7659"/>
    <cellStyle name="Normal 4 2 2 4 3" xfId="7660"/>
    <cellStyle name="Normal 4 2 2 5" xfId="7661"/>
    <cellStyle name="Normal 4 2 2 5 2" xfId="7662"/>
    <cellStyle name="Normal 4 2 2 6" xfId="7663"/>
    <cellStyle name="Normal 4 2 2 7" xfId="7664"/>
    <cellStyle name="Normal 4 2 3" xfId="7665"/>
    <cellStyle name="Normal 4 2 3 2" xfId="7666"/>
    <cellStyle name="Normal 4 2 3 2 2" xfId="7667"/>
    <cellStyle name="Normal 4 2 3 2 2 2" xfId="7668"/>
    <cellStyle name="Normal 4 2 3 2 3" xfId="7669"/>
    <cellStyle name="Normal 4 2 3 3" xfId="7670"/>
    <cellStyle name="Normal 4 2 3 3 2" xfId="7671"/>
    <cellStyle name="Normal 4 2 3 3 2 2" xfId="7672"/>
    <cellStyle name="Normal 4 2 3 3 3" xfId="7673"/>
    <cellStyle name="Normal 4 2 3 4" xfId="7674"/>
    <cellStyle name="Normal 4 2 3 4 2" xfId="7675"/>
    <cellStyle name="Normal 4 2 3 5" xfId="7676"/>
    <cellStyle name="Normal 4 2 4" xfId="7677"/>
    <cellStyle name="Normal 4 2 4 2" xfId="7678"/>
    <cellStyle name="Normal 4 2 4 2 2" xfId="7679"/>
    <cellStyle name="Normal 4 2 4 3" xfId="7680"/>
    <cellStyle name="Normal 4 2 5" xfId="7681"/>
    <cellStyle name="Normal 4 2 5 2" xfId="7682"/>
    <cellStyle name="Normal 4 2 5 2 2" xfId="7683"/>
    <cellStyle name="Normal 4 2 5 3" xfId="7684"/>
    <cellStyle name="Normal 4 2 6" xfId="7685"/>
    <cellStyle name="Normal 4 2 6 2" xfId="7686"/>
    <cellStyle name="Normal 4 2 7" xfId="7687"/>
    <cellStyle name="Normal 4 2 8" xfId="7688"/>
    <cellStyle name="Normal 4 3" xfId="7689"/>
    <cellStyle name="Normal 4 3 2" xfId="7690"/>
    <cellStyle name="Normal 4 3 2 2" xfId="7691"/>
    <cellStyle name="Normal 4 3 2 2 2" xfId="7692"/>
    <cellStyle name="Normal 4 3 2 3" xfId="7693"/>
    <cellStyle name="Normal 4 3 2 3 2" xfId="7694"/>
    <cellStyle name="Normal 4 3 2 4" xfId="7695"/>
    <cellStyle name="Normal 4 3 2 5" xfId="7696"/>
    <cellStyle name="Normal 4 3 3" xfId="7697"/>
    <cellStyle name="Normal 4 3 3 2" xfId="7698"/>
    <cellStyle name="Normal 4 3 4" xfId="7699"/>
    <cellStyle name="Normal 4 3 4 2" xfId="7700"/>
    <cellStyle name="Normal 4 3 5" xfId="7701"/>
    <cellStyle name="Normal 4 3 5 2" xfId="7702"/>
    <cellStyle name="Normal 4 3 6" xfId="7703"/>
    <cellStyle name="Normal 4 3 7" xfId="7704"/>
    <cellStyle name="Normal 4 4" xfId="7705"/>
    <cellStyle name="Normal 4 4 2" xfId="7706"/>
    <cellStyle name="Normal 4 4 2 2" xfId="7707"/>
    <cellStyle name="Normal 4 4 3" xfId="7708"/>
    <cellStyle name="Normal 4 4 4" xfId="7709"/>
    <cellStyle name="Normal 4 5" xfId="7710"/>
    <cellStyle name="Normal 4 5 2" xfId="7711"/>
    <cellStyle name="Normal 4 6" xfId="7712"/>
    <cellStyle name="Normal 4 7" xfId="7713"/>
    <cellStyle name="Normal 4_2180" xfId="7714"/>
    <cellStyle name="Normal 40" xfId="7715"/>
    <cellStyle name="Normal 40 2" xfId="7716"/>
    <cellStyle name="Normal 40 2 2" xfId="7717"/>
    <cellStyle name="Normal 40 2 2 2" xfId="7718"/>
    <cellStyle name="Normal 40 2 2 2 2" xfId="7719"/>
    <cellStyle name="Normal 40 2 2 2 2 2" xfId="7720"/>
    <cellStyle name="Normal 40 2 2 2 2 2 2" xfId="7721"/>
    <cellStyle name="Normal 40 2 2 2 2 3" xfId="7722"/>
    <cellStyle name="Normal 40 2 2 2 3" xfId="7723"/>
    <cellStyle name="Normal 40 2 2 2 3 2" xfId="7724"/>
    <cellStyle name="Normal 40 2 2 2 3 2 2" xfId="7725"/>
    <cellStyle name="Normal 40 2 2 2 3 3" xfId="7726"/>
    <cellStyle name="Normal 40 2 2 2 4" xfId="7727"/>
    <cellStyle name="Normal 40 2 2 2 4 2" xfId="7728"/>
    <cellStyle name="Normal 40 2 2 2 5" xfId="7729"/>
    <cellStyle name="Normal 40 2 2 3" xfId="7730"/>
    <cellStyle name="Normal 40 2 2 3 2" xfId="7731"/>
    <cellStyle name="Normal 40 2 2 3 2 2" xfId="7732"/>
    <cellStyle name="Normal 40 2 2 3 3" xfId="7733"/>
    <cellStyle name="Normal 40 2 2 4" xfId="7734"/>
    <cellStyle name="Normal 40 2 2 4 2" xfId="7735"/>
    <cellStyle name="Normal 40 2 2 4 2 2" xfId="7736"/>
    <cellStyle name="Normal 40 2 2 4 3" xfId="7737"/>
    <cellStyle name="Normal 40 2 2 5" xfId="7738"/>
    <cellStyle name="Normal 40 2 2 5 2" xfId="7739"/>
    <cellStyle name="Normal 40 2 2 6" xfId="7740"/>
    <cellStyle name="Normal 40 2 3" xfId="7741"/>
    <cellStyle name="Normal 40 2 3 2" xfId="7742"/>
    <cellStyle name="Normal 40 2 3 2 2" xfId="7743"/>
    <cellStyle name="Normal 40 2 3 2 2 2" xfId="7744"/>
    <cellStyle name="Normal 40 2 3 2 3" xfId="7745"/>
    <cellStyle name="Normal 40 2 3 3" xfId="7746"/>
    <cellStyle name="Normal 40 2 3 3 2" xfId="7747"/>
    <cellStyle name="Normal 40 2 3 3 2 2" xfId="7748"/>
    <cellStyle name="Normal 40 2 3 3 3" xfId="7749"/>
    <cellStyle name="Normal 40 2 3 4" xfId="7750"/>
    <cellStyle name="Normal 40 2 3 4 2" xfId="7751"/>
    <cellStyle name="Normal 40 2 3 5" xfId="7752"/>
    <cellStyle name="Normal 40 2 4" xfId="7753"/>
    <cellStyle name="Normal 40 2 4 2" xfId="7754"/>
    <cellStyle name="Normal 40 2 4 2 2" xfId="7755"/>
    <cellStyle name="Normal 40 2 4 3" xfId="7756"/>
    <cellStyle name="Normal 40 2 5" xfId="7757"/>
    <cellStyle name="Normal 40 2 5 2" xfId="7758"/>
    <cellStyle name="Normal 40 2 5 2 2" xfId="7759"/>
    <cellStyle name="Normal 40 2 5 3" xfId="7760"/>
    <cellStyle name="Normal 40 2 6" xfId="7761"/>
    <cellStyle name="Normal 40 2 6 2" xfId="7762"/>
    <cellStyle name="Normal 40 2 7" xfId="7763"/>
    <cellStyle name="Normal 40 3" xfId="7764"/>
    <cellStyle name="Normal 40 3 2" xfId="7765"/>
    <cellStyle name="Normal 40 3 2 2" xfId="7766"/>
    <cellStyle name="Normal 40 3 2 2 2" xfId="7767"/>
    <cellStyle name="Normal 40 3 2 2 2 2" xfId="7768"/>
    <cellStyle name="Normal 40 3 2 2 3" xfId="7769"/>
    <cellStyle name="Normal 40 3 2 3" xfId="7770"/>
    <cellStyle name="Normal 40 3 2 3 2" xfId="7771"/>
    <cellStyle name="Normal 40 3 2 3 2 2" xfId="7772"/>
    <cellStyle name="Normal 40 3 2 3 3" xfId="7773"/>
    <cellStyle name="Normal 40 3 2 4" xfId="7774"/>
    <cellStyle name="Normal 40 3 2 4 2" xfId="7775"/>
    <cellStyle name="Normal 40 3 2 5" xfId="7776"/>
    <cellStyle name="Normal 40 3 3" xfId="7777"/>
    <cellStyle name="Normal 40 3 3 2" xfId="7778"/>
    <cellStyle name="Normal 40 3 3 2 2" xfId="7779"/>
    <cellStyle name="Normal 40 3 3 3" xfId="7780"/>
    <cellStyle name="Normal 40 3 4" xfId="7781"/>
    <cellStyle name="Normal 40 3 4 2" xfId="7782"/>
    <cellStyle name="Normal 40 3 4 2 2" xfId="7783"/>
    <cellStyle name="Normal 40 3 4 3" xfId="7784"/>
    <cellStyle name="Normal 40 3 5" xfId="7785"/>
    <cellStyle name="Normal 40 3 5 2" xfId="7786"/>
    <cellStyle name="Normal 40 3 6" xfId="7787"/>
    <cellStyle name="Normal 40 4" xfId="7788"/>
    <cellStyle name="Normal 40 4 2" xfId="7789"/>
    <cellStyle name="Normal 40 4 2 2" xfId="7790"/>
    <cellStyle name="Normal 40 4 2 2 2" xfId="7791"/>
    <cellStyle name="Normal 40 4 2 3" xfId="7792"/>
    <cellStyle name="Normal 40 4 3" xfId="7793"/>
    <cellStyle name="Normal 40 4 3 2" xfId="7794"/>
    <cellStyle name="Normal 40 4 3 2 2" xfId="7795"/>
    <cellStyle name="Normal 40 4 3 3" xfId="7796"/>
    <cellStyle name="Normal 40 4 4" xfId="7797"/>
    <cellStyle name="Normal 40 4 4 2" xfId="7798"/>
    <cellStyle name="Normal 40 4 5" xfId="7799"/>
    <cellStyle name="Normal 40 5" xfId="7800"/>
    <cellStyle name="Normal 40 5 2" xfId="7801"/>
    <cellStyle name="Normal 40 5 2 2" xfId="7802"/>
    <cellStyle name="Normal 40 5 3" xfId="7803"/>
    <cellStyle name="Normal 40 6" xfId="7804"/>
    <cellStyle name="Normal 40 6 2" xfId="7805"/>
    <cellStyle name="Normal 40 6 2 2" xfId="7806"/>
    <cellStyle name="Normal 40 6 3" xfId="7807"/>
    <cellStyle name="Normal 40 7" xfId="7808"/>
    <cellStyle name="Normal 40 7 2" xfId="7809"/>
    <cellStyle name="Normal 40 8" xfId="7810"/>
    <cellStyle name="Normal 40 9" xfId="7811"/>
    <cellStyle name="Normal 41" xfId="7812"/>
    <cellStyle name="Normal 41 2" xfId="7813"/>
    <cellStyle name="Normal 41 2 2" xfId="7814"/>
    <cellStyle name="Normal 41 2 2 2" xfId="7815"/>
    <cellStyle name="Normal 41 2 2 2 2" xfId="7816"/>
    <cellStyle name="Normal 41 2 2 2 2 2" xfId="7817"/>
    <cellStyle name="Normal 41 2 2 2 2 2 2" xfId="7818"/>
    <cellStyle name="Normal 41 2 2 2 2 3" xfId="7819"/>
    <cellStyle name="Normal 41 2 2 2 3" xfId="7820"/>
    <cellStyle name="Normal 41 2 2 2 3 2" xfId="7821"/>
    <cellStyle name="Normal 41 2 2 2 3 2 2" xfId="7822"/>
    <cellStyle name="Normal 41 2 2 2 3 3" xfId="7823"/>
    <cellStyle name="Normal 41 2 2 2 4" xfId="7824"/>
    <cellStyle name="Normal 41 2 2 2 4 2" xfId="7825"/>
    <cellStyle name="Normal 41 2 2 2 5" xfId="7826"/>
    <cellStyle name="Normal 41 2 2 3" xfId="7827"/>
    <cellStyle name="Normal 41 2 2 3 2" xfId="7828"/>
    <cellStyle name="Normal 41 2 2 3 2 2" xfId="7829"/>
    <cellStyle name="Normal 41 2 2 3 3" xfId="7830"/>
    <cellStyle name="Normal 41 2 2 4" xfId="7831"/>
    <cellStyle name="Normal 41 2 2 4 2" xfId="7832"/>
    <cellStyle name="Normal 41 2 2 4 2 2" xfId="7833"/>
    <cellStyle name="Normal 41 2 2 4 3" xfId="7834"/>
    <cellStyle name="Normal 41 2 2 5" xfId="7835"/>
    <cellStyle name="Normal 41 2 2 5 2" xfId="7836"/>
    <cellStyle name="Normal 41 2 2 6" xfId="7837"/>
    <cellStyle name="Normal 41 2 3" xfId="7838"/>
    <cellStyle name="Normal 41 2 3 2" xfId="7839"/>
    <cellStyle name="Normal 41 2 3 2 2" xfId="7840"/>
    <cellStyle name="Normal 41 2 3 2 2 2" xfId="7841"/>
    <cellStyle name="Normal 41 2 3 2 3" xfId="7842"/>
    <cellStyle name="Normal 41 2 3 3" xfId="7843"/>
    <cellStyle name="Normal 41 2 3 3 2" xfId="7844"/>
    <cellStyle name="Normal 41 2 3 3 2 2" xfId="7845"/>
    <cellStyle name="Normal 41 2 3 3 3" xfId="7846"/>
    <cellStyle name="Normal 41 2 3 4" xfId="7847"/>
    <cellStyle name="Normal 41 2 3 4 2" xfId="7848"/>
    <cellStyle name="Normal 41 2 3 5" xfId="7849"/>
    <cellStyle name="Normal 41 2 4" xfId="7850"/>
    <cellStyle name="Normal 41 2 4 2" xfId="7851"/>
    <cellStyle name="Normal 41 2 4 2 2" xfId="7852"/>
    <cellStyle name="Normal 41 2 4 3" xfId="7853"/>
    <cellStyle name="Normal 41 2 5" xfId="7854"/>
    <cellStyle name="Normal 41 2 5 2" xfId="7855"/>
    <cellStyle name="Normal 41 2 5 2 2" xfId="7856"/>
    <cellStyle name="Normal 41 2 5 3" xfId="7857"/>
    <cellStyle name="Normal 41 2 6" xfId="7858"/>
    <cellStyle name="Normal 41 2 6 2" xfId="7859"/>
    <cellStyle name="Normal 41 2 7" xfId="7860"/>
    <cellStyle name="Normal 41 3" xfId="7861"/>
    <cellStyle name="Normal 41 3 2" xfId="7862"/>
    <cellStyle name="Normal 41 3 2 2" xfId="7863"/>
    <cellStyle name="Normal 41 3 2 2 2" xfId="7864"/>
    <cellStyle name="Normal 41 3 2 2 2 2" xfId="7865"/>
    <cellStyle name="Normal 41 3 2 2 3" xfId="7866"/>
    <cellStyle name="Normal 41 3 2 3" xfId="7867"/>
    <cellStyle name="Normal 41 3 2 3 2" xfId="7868"/>
    <cellStyle name="Normal 41 3 2 3 2 2" xfId="7869"/>
    <cellStyle name="Normal 41 3 2 3 3" xfId="7870"/>
    <cellStyle name="Normal 41 3 2 4" xfId="7871"/>
    <cellStyle name="Normal 41 3 2 4 2" xfId="7872"/>
    <cellStyle name="Normal 41 3 2 5" xfId="7873"/>
    <cellStyle name="Normal 41 3 3" xfId="7874"/>
    <cellStyle name="Normal 41 3 3 2" xfId="7875"/>
    <cellStyle name="Normal 41 3 3 2 2" xfId="7876"/>
    <cellStyle name="Normal 41 3 3 3" xfId="7877"/>
    <cellStyle name="Normal 41 3 4" xfId="7878"/>
    <cellStyle name="Normal 41 3 4 2" xfId="7879"/>
    <cellStyle name="Normal 41 3 4 2 2" xfId="7880"/>
    <cellStyle name="Normal 41 3 4 3" xfId="7881"/>
    <cellStyle name="Normal 41 3 5" xfId="7882"/>
    <cellStyle name="Normal 41 3 5 2" xfId="7883"/>
    <cellStyle name="Normal 41 3 6" xfId="7884"/>
    <cellStyle name="Normal 41 4" xfId="7885"/>
    <cellStyle name="Normal 41 4 2" xfId="7886"/>
    <cellStyle name="Normal 41 4 2 2" xfId="7887"/>
    <cellStyle name="Normal 41 4 2 2 2" xfId="7888"/>
    <cellStyle name="Normal 41 4 2 3" xfId="7889"/>
    <cellStyle name="Normal 41 4 3" xfId="7890"/>
    <cellStyle name="Normal 41 4 3 2" xfId="7891"/>
    <cellStyle name="Normal 41 4 3 2 2" xfId="7892"/>
    <cellStyle name="Normal 41 4 3 3" xfId="7893"/>
    <cellStyle name="Normal 41 4 4" xfId="7894"/>
    <cellStyle name="Normal 41 4 4 2" xfId="7895"/>
    <cellStyle name="Normal 41 4 5" xfId="7896"/>
    <cellStyle name="Normal 41 5" xfId="7897"/>
    <cellStyle name="Normal 41 5 2" xfId="7898"/>
    <cellStyle name="Normal 41 5 2 2" xfId="7899"/>
    <cellStyle name="Normal 41 5 3" xfId="7900"/>
    <cellStyle name="Normal 41 6" xfId="7901"/>
    <cellStyle name="Normal 41 6 2" xfId="7902"/>
    <cellStyle name="Normal 41 6 2 2" xfId="7903"/>
    <cellStyle name="Normal 41 6 3" xfId="7904"/>
    <cellStyle name="Normal 41 7" xfId="7905"/>
    <cellStyle name="Normal 41 7 2" xfId="7906"/>
    <cellStyle name="Normal 41 8" xfId="7907"/>
    <cellStyle name="Normal 41 9" xfId="7908"/>
    <cellStyle name="Normal 42" xfId="7909"/>
    <cellStyle name="Normal 42 2" xfId="7910"/>
    <cellStyle name="Normal 42 2 2" xfId="7911"/>
    <cellStyle name="Normal 42 3" xfId="7912"/>
    <cellStyle name="Normal 42 3 2" xfId="7913"/>
    <cellStyle name="Normal 42 4" xfId="7914"/>
    <cellStyle name="Normal 42 5" xfId="7915"/>
    <cellStyle name="Normal 43" xfId="7916"/>
    <cellStyle name="Normal 43 2" xfId="7917"/>
    <cellStyle name="Normal 43 2 2" xfId="7918"/>
    <cellStyle name="Normal 43 2 2 2" xfId="7919"/>
    <cellStyle name="Normal 43 2 2 2 2" xfId="7920"/>
    <cellStyle name="Normal 43 2 2 2 2 2" xfId="7921"/>
    <cellStyle name="Normal 43 2 2 2 2 2 2" xfId="7922"/>
    <cellStyle name="Normal 43 2 2 2 2 3" xfId="7923"/>
    <cellStyle name="Normal 43 2 2 2 3" xfId="7924"/>
    <cellStyle name="Normal 43 2 2 2 3 2" xfId="7925"/>
    <cellStyle name="Normal 43 2 2 2 3 2 2" xfId="7926"/>
    <cellStyle name="Normal 43 2 2 2 3 3" xfId="7927"/>
    <cellStyle name="Normal 43 2 2 2 4" xfId="7928"/>
    <cellStyle name="Normal 43 2 2 2 4 2" xfId="7929"/>
    <cellStyle name="Normal 43 2 2 2 5" xfId="7930"/>
    <cellStyle name="Normal 43 2 2 3" xfId="7931"/>
    <cellStyle name="Normal 43 2 2 3 2" xfId="7932"/>
    <cellStyle name="Normal 43 2 2 3 2 2" xfId="7933"/>
    <cellStyle name="Normal 43 2 2 3 3" xfId="7934"/>
    <cellStyle name="Normal 43 2 2 4" xfId="7935"/>
    <cellStyle name="Normal 43 2 2 4 2" xfId="7936"/>
    <cellStyle name="Normal 43 2 2 4 2 2" xfId="7937"/>
    <cellStyle name="Normal 43 2 2 4 3" xfId="7938"/>
    <cellStyle name="Normal 43 2 2 5" xfId="7939"/>
    <cellStyle name="Normal 43 2 2 5 2" xfId="7940"/>
    <cellStyle name="Normal 43 2 2 6" xfId="7941"/>
    <cellStyle name="Normal 43 2 3" xfId="7942"/>
    <cellStyle name="Normal 43 2 3 2" xfId="7943"/>
    <cellStyle name="Normal 43 2 3 2 2" xfId="7944"/>
    <cellStyle name="Normal 43 2 3 2 2 2" xfId="7945"/>
    <cellStyle name="Normal 43 2 3 2 3" xfId="7946"/>
    <cellStyle name="Normal 43 2 3 3" xfId="7947"/>
    <cellStyle name="Normal 43 2 3 3 2" xfId="7948"/>
    <cellStyle name="Normal 43 2 3 3 2 2" xfId="7949"/>
    <cellStyle name="Normal 43 2 3 3 3" xfId="7950"/>
    <cellStyle name="Normal 43 2 3 4" xfId="7951"/>
    <cellStyle name="Normal 43 2 3 4 2" xfId="7952"/>
    <cellStyle name="Normal 43 2 3 5" xfId="7953"/>
    <cellStyle name="Normal 43 2 4" xfId="7954"/>
    <cellStyle name="Normal 43 2 4 2" xfId="7955"/>
    <cellStyle name="Normal 43 2 4 2 2" xfId="7956"/>
    <cellStyle name="Normal 43 2 4 3" xfId="7957"/>
    <cellStyle name="Normal 43 2 5" xfId="7958"/>
    <cellStyle name="Normal 43 2 5 2" xfId="7959"/>
    <cellStyle name="Normal 43 2 5 2 2" xfId="7960"/>
    <cellStyle name="Normal 43 2 5 3" xfId="7961"/>
    <cellStyle name="Normal 43 2 6" xfId="7962"/>
    <cellStyle name="Normal 43 2 6 2" xfId="7963"/>
    <cellStyle name="Normal 43 2 7" xfId="7964"/>
    <cellStyle name="Normal 43 3" xfId="7965"/>
    <cellStyle name="Normal 43 3 2" xfId="7966"/>
    <cellStyle name="Normal 43 4" xfId="7967"/>
    <cellStyle name="Normal 43 5" xfId="7968"/>
    <cellStyle name="Normal 44" xfId="7969"/>
    <cellStyle name="Normal 44 2" xfId="7970"/>
    <cellStyle name="Normal 44 2 2" xfId="7971"/>
    <cellStyle name="Normal 44 2 2 2" xfId="7972"/>
    <cellStyle name="Normal 44 2 2 2 2" xfId="7973"/>
    <cellStyle name="Normal 44 2 2 2 2 2" xfId="7974"/>
    <cellStyle name="Normal 44 2 2 2 2 2 2" xfId="7975"/>
    <cellStyle name="Normal 44 2 2 2 2 3" xfId="7976"/>
    <cellStyle name="Normal 44 2 2 2 3" xfId="7977"/>
    <cellStyle name="Normal 44 2 2 2 3 2" xfId="7978"/>
    <cellStyle name="Normal 44 2 2 2 3 2 2" xfId="7979"/>
    <cellStyle name="Normal 44 2 2 2 3 3" xfId="7980"/>
    <cellStyle name="Normal 44 2 2 2 4" xfId="7981"/>
    <cellStyle name="Normal 44 2 2 2 4 2" xfId="7982"/>
    <cellStyle name="Normal 44 2 2 2 5" xfId="7983"/>
    <cellStyle name="Normal 44 2 2 3" xfId="7984"/>
    <cellStyle name="Normal 44 2 2 3 2" xfId="7985"/>
    <cellStyle name="Normal 44 2 2 3 2 2" xfId="7986"/>
    <cellStyle name="Normal 44 2 2 3 3" xfId="7987"/>
    <cellStyle name="Normal 44 2 2 4" xfId="7988"/>
    <cellStyle name="Normal 44 2 2 4 2" xfId="7989"/>
    <cellStyle name="Normal 44 2 2 4 2 2" xfId="7990"/>
    <cellStyle name="Normal 44 2 2 4 3" xfId="7991"/>
    <cellStyle name="Normal 44 2 2 5" xfId="7992"/>
    <cellStyle name="Normal 44 2 2 5 2" xfId="7993"/>
    <cellStyle name="Normal 44 2 2 6" xfId="7994"/>
    <cellStyle name="Normal 44 2 3" xfId="7995"/>
    <cellStyle name="Normal 44 2 3 2" xfId="7996"/>
    <cellStyle name="Normal 44 2 3 2 2" xfId="7997"/>
    <cellStyle name="Normal 44 2 3 2 2 2" xfId="7998"/>
    <cellStyle name="Normal 44 2 3 2 3" xfId="7999"/>
    <cellStyle name="Normal 44 2 3 3" xfId="8000"/>
    <cellStyle name="Normal 44 2 3 3 2" xfId="8001"/>
    <cellStyle name="Normal 44 2 3 3 2 2" xfId="8002"/>
    <cellStyle name="Normal 44 2 3 3 3" xfId="8003"/>
    <cellStyle name="Normal 44 2 3 4" xfId="8004"/>
    <cellStyle name="Normal 44 2 3 4 2" xfId="8005"/>
    <cellStyle name="Normal 44 2 3 5" xfId="8006"/>
    <cellStyle name="Normal 44 2 4" xfId="8007"/>
    <cellStyle name="Normal 44 2 4 2" xfId="8008"/>
    <cellStyle name="Normal 44 2 4 2 2" xfId="8009"/>
    <cellStyle name="Normal 44 2 4 3" xfId="8010"/>
    <cellStyle name="Normal 44 2 5" xfId="8011"/>
    <cellStyle name="Normal 44 2 5 2" xfId="8012"/>
    <cellStyle name="Normal 44 2 5 2 2" xfId="8013"/>
    <cellStyle name="Normal 44 2 5 3" xfId="8014"/>
    <cellStyle name="Normal 44 2 6" xfId="8015"/>
    <cellStyle name="Normal 44 2 6 2" xfId="8016"/>
    <cellStyle name="Normal 44 2 7" xfId="8017"/>
    <cellStyle name="Normal 44 3" xfId="8018"/>
    <cellStyle name="Normal 44 3 2" xfId="8019"/>
    <cellStyle name="Normal 44 3 2 2" xfId="8020"/>
    <cellStyle name="Normal 44 3 2 2 2" xfId="8021"/>
    <cellStyle name="Normal 44 3 2 2 2 2" xfId="8022"/>
    <cellStyle name="Normal 44 3 2 2 3" xfId="8023"/>
    <cellStyle name="Normal 44 3 2 3" xfId="8024"/>
    <cellStyle name="Normal 44 3 2 3 2" xfId="8025"/>
    <cellStyle name="Normal 44 3 2 3 2 2" xfId="8026"/>
    <cellStyle name="Normal 44 3 2 3 3" xfId="8027"/>
    <cellStyle name="Normal 44 3 2 4" xfId="8028"/>
    <cellStyle name="Normal 44 3 2 4 2" xfId="8029"/>
    <cellStyle name="Normal 44 3 2 5" xfId="8030"/>
    <cellStyle name="Normal 44 3 3" xfId="8031"/>
    <cellStyle name="Normal 44 3 3 2" xfId="8032"/>
    <cellStyle name="Normal 44 3 3 2 2" xfId="8033"/>
    <cellStyle name="Normal 44 3 3 3" xfId="8034"/>
    <cellStyle name="Normal 44 3 4" xfId="8035"/>
    <cellStyle name="Normal 44 3 4 2" xfId="8036"/>
    <cellStyle name="Normal 44 3 4 2 2" xfId="8037"/>
    <cellStyle name="Normal 44 3 4 3" xfId="8038"/>
    <cellStyle name="Normal 44 3 5" xfId="8039"/>
    <cellStyle name="Normal 44 3 5 2" xfId="8040"/>
    <cellStyle name="Normal 44 3 6" xfId="8041"/>
    <cellStyle name="Normal 44 4" xfId="8042"/>
    <cellStyle name="Normal 44 4 2" xfId="8043"/>
    <cellStyle name="Normal 44 4 2 2" xfId="8044"/>
    <cellStyle name="Normal 44 4 2 2 2" xfId="8045"/>
    <cellStyle name="Normal 44 4 2 3" xfId="8046"/>
    <cellStyle name="Normal 44 4 3" xfId="8047"/>
    <cellStyle name="Normal 44 4 3 2" xfId="8048"/>
    <cellStyle name="Normal 44 4 3 2 2" xfId="8049"/>
    <cellStyle name="Normal 44 4 3 3" xfId="8050"/>
    <cellStyle name="Normal 44 4 4" xfId="8051"/>
    <cellStyle name="Normal 44 4 4 2" xfId="8052"/>
    <cellStyle name="Normal 44 4 5" xfId="8053"/>
    <cellStyle name="Normal 44 5" xfId="8054"/>
    <cellStyle name="Normal 44 5 2" xfId="8055"/>
    <cellStyle name="Normal 44 5 2 2" xfId="8056"/>
    <cellStyle name="Normal 44 5 3" xfId="8057"/>
    <cellStyle name="Normal 44 6" xfId="8058"/>
    <cellStyle name="Normal 44 6 2" xfId="8059"/>
    <cellStyle name="Normal 44 6 2 2" xfId="8060"/>
    <cellStyle name="Normal 44 6 3" xfId="8061"/>
    <cellStyle name="Normal 44 7" xfId="8062"/>
    <cellStyle name="Normal 44 7 2" xfId="8063"/>
    <cellStyle name="Normal 44 8" xfId="8064"/>
    <cellStyle name="Normal 44 9" xfId="8065"/>
    <cellStyle name="Normal 45" xfId="8066"/>
    <cellStyle name="Normal 45 2" xfId="8067"/>
    <cellStyle name="Normal 45 2 2" xfId="8068"/>
    <cellStyle name="Normal 45 2 2 2" xfId="8069"/>
    <cellStyle name="Normal 45 2 2 2 2" xfId="8070"/>
    <cellStyle name="Normal 45 2 2 2 2 2" xfId="8071"/>
    <cellStyle name="Normal 45 2 2 2 2 2 2" xfId="8072"/>
    <cellStyle name="Normal 45 2 2 2 2 3" xfId="8073"/>
    <cellStyle name="Normal 45 2 2 2 3" xfId="8074"/>
    <cellStyle name="Normal 45 2 2 2 3 2" xfId="8075"/>
    <cellStyle name="Normal 45 2 2 2 3 2 2" xfId="8076"/>
    <cellStyle name="Normal 45 2 2 2 3 3" xfId="8077"/>
    <cellStyle name="Normal 45 2 2 2 4" xfId="8078"/>
    <cellStyle name="Normal 45 2 2 2 4 2" xfId="8079"/>
    <cellStyle name="Normal 45 2 2 2 5" xfId="8080"/>
    <cellStyle name="Normal 45 2 2 3" xfId="8081"/>
    <cellStyle name="Normal 45 2 2 3 2" xfId="8082"/>
    <cellStyle name="Normal 45 2 2 3 2 2" xfId="8083"/>
    <cellStyle name="Normal 45 2 2 3 3" xfId="8084"/>
    <cellStyle name="Normal 45 2 2 4" xfId="8085"/>
    <cellStyle name="Normal 45 2 2 4 2" xfId="8086"/>
    <cellStyle name="Normal 45 2 2 4 2 2" xfId="8087"/>
    <cellStyle name="Normal 45 2 2 4 3" xfId="8088"/>
    <cellStyle name="Normal 45 2 2 5" xfId="8089"/>
    <cellStyle name="Normal 45 2 2 5 2" xfId="8090"/>
    <cellStyle name="Normal 45 2 2 6" xfId="8091"/>
    <cellStyle name="Normal 45 2 3" xfId="8092"/>
    <cellStyle name="Normal 45 2 3 2" xfId="8093"/>
    <cellStyle name="Normal 45 2 3 2 2" xfId="8094"/>
    <cellStyle name="Normal 45 2 3 2 2 2" xfId="8095"/>
    <cellStyle name="Normal 45 2 3 2 3" xfId="8096"/>
    <cellStyle name="Normal 45 2 3 3" xfId="8097"/>
    <cellStyle name="Normal 45 2 3 3 2" xfId="8098"/>
    <cellStyle name="Normal 45 2 3 3 2 2" xfId="8099"/>
    <cellStyle name="Normal 45 2 3 3 3" xfId="8100"/>
    <cellStyle name="Normal 45 2 3 4" xfId="8101"/>
    <cellStyle name="Normal 45 2 3 4 2" xfId="8102"/>
    <cellStyle name="Normal 45 2 3 5" xfId="8103"/>
    <cellStyle name="Normal 45 2 4" xfId="8104"/>
    <cellStyle name="Normal 45 2 4 2" xfId="8105"/>
    <cellStyle name="Normal 45 2 4 2 2" xfId="8106"/>
    <cellStyle name="Normal 45 2 4 3" xfId="8107"/>
    <cellStyle name="Normal 45 2 5" xfId="8108"/>
    <cellStyle name="Normal 45 2 5 2" xfId="8109"/>
    <cellStyle name="Normal 45 2 5 2 2" xfId="8110"/>
    <cellStyle name="Normal 45 2 5 3" xfId="8111"/>
    <cellStyle name="Normal 45 2 6" xfId="8112"/>
    <cellStyle name="Normal 45 2 6 2" xfId="8113"/>
    <cellStyle name="Normal 45 2 7" xfId="8114"/>
    <cellStyle name="Normal 45 3" xfId="8115"/>
    <cellStyle name="Normal 45 3 2" xfId="8116"/>
    <cellStyle name="Normal 45 4" xfId="8117"/>
    <cellStyle name="Normal 45 5" xfId="8118"/>
    <cellStyle name="Normal 46" xfId="8119"/>
    <cellStyle name="Normal 46 2" xfId="8120"/>
    <cellStyle name="Normal 46 2 2" xfId="8121"/>
    <cellStyle name="Normal 46 2 2 2" xfId="8122"/>
    <cellStyle name="Normal 46 2 2 2 2" xfId="8123"/>
    <cellStyle name="Normal 46 2 2 2 2 2" xfId="8124"/>
    <cellStyle name="Normal 46 2 2 2 2 2 2" xfId="8125"/>
    <cellStyle name="Normal 46 2 2 2 2 3" xfId="8126"/>
    <cellStyle name="Normal 46 2 2 2 3" xfId="8127"/>
    <cellStyle name="Normal 46 2 2 2 3 2" xfId="8128"/>
    <cellStyle name="Normal 46 2 2 2 3 2 2" xfId="8129"/>
    <cellStyle name="Normal 46 2 2 2 3 3" xfId="8130"/>
    <cellStyle name="Normal 46 2 2 2 4" xfId="8131"/>
    <cellStyle name="Normal 46 2 2 2 4 2" xfId="8132"/>
    <cellStyle name="Normal 46 2 2 2 5" xfId="8133"/>
    <cellStyle name="Normal 46 2 2 3" xfId="8134"/>
    <cellStyle name="Normal 46 2 2 3 2" xfId="8135"/>
    <cellStyle name="Normal 46 2 2 3 2 2" xfId="8136"/>
    <cellStyle name="Normal 46 2 2 3 3" xfId="8137"/>
    <cellStyle name="Normal 46 2 2 4" xfId="8138"/>
    <cellStyle name="Normal 46 2 2 4 2" xfId="8139"/>
    <cellStyle name="Normal 46 2 2 4 2 2" xfId="8140"/>
    <cellStyle name="Normal 46 2 2 4 3" xfId="8141"/>
    <cellStyle name="Normal 46 2 2 5" xfId="8142"/>
    <cellStyle name="Normal 46 2 2 5 2" xfId="8143"/>
    <cellStyle name="Normal 46 2 2 6" xfId="8144"/>
    <cellStyle name="Normal 46 2 3" xfId="8145"/>
    <cellStyle name="Normal 46 2 3 2" xfId="8146"/>
    <cellStyle name="Normal 46 2 3 2 2" xfId="8147"/>
    <cellStyle name="Normal 46 2 3 2 2 2" xfId="8148"/>
    <cellStyle name="Normal 46 2 3 2 3" xfId="8149"/>
    <cellStyle name="Normal 46 2 3 3" xfId="8150"/>
    <cellStyle name="Normal 46 2 3 3 2" xfId="8151"/>
    <cellStyle name="Normal 46 2 3 3 2 2" xfId="8152"/>
    <cellStyle name="Normal 46 2 3 3 3" xfId="8153"/>
    <cellStyle name="Normal 46 2 3 4" xfId="8154"/>
    <cellStyle name="Normal 46 2 3 4 2" xfId="8155"/>
    <cellStyle name="Normal 46 2 3 5" xfId="8156"/>
    <cellStyle name="Normal 46 2 4" xfId="8157"/>
    <cellStyle name="Normal 46 2 4 2" xfId="8158"/>
    <cellStyle name="Normal 46 2 4 2 2" xfId="8159"/>
    <cellStyle name="Normal 46 2 4 3" xfId="8160"/>
    <cellStyle name="Normal 46 2 5" xfId="8161"/>
    <cellStyle name="Normal 46 2 5 2" xfId="8162"/>
    <cellStyle name="Normal 46 2 5 2 2" xfId="8163"/>
    <cellStyle name="Normal 46 2 5 3" xfId="8164"/>
    <cellStyle name="Normal 46 2 6" xfId="8165"/>
    <cellStyle name="Normal 46 2 6 2" xfId="8166"/>
    <cellStyle name="Normal 46 2 7" xfId="8167"/>
    <cellStyle name="Normal 46 3" xfId="8168"/>
    <cellStyle name="Normal 46 3 2" xfId="8169"/>
    <cellStyle name="Normal 46 4" xfId="8170"/>
    <cellStyle name="Normal 46 5" xfId="8171"/>
    <cellStyle name="Normal 47" xfId="8172"/>
    <cellStyle name="Normal 47 2" xfId="8173"/>
    <cellStyle name="Normal 47 2 2" xfId="8174"/>
    <cellStyle name="Normal 47 2 2 2" xfId="8175"/>
    <cellStyle name="Normal 47 2 2 2 2" xfId="8176"/>
    <cellStyle name="Normal 47 2 2 2 2 2" xfId="8177"/>
    <cellStyle name="Normal 47 2 2 2 2 2 2" xfId="8178"/>
    <cellStyle name="Normal 47 2 2 2 2 3" xfId="8179"/>
    <cellStyle name="Normal 47 2 2 2 3" xfId="8180"/>
    <cellStyle name="Normal 47 2 2 2 3 2" xfId="8181"/>
    <cellStyle name="Normal 47 2 2 2 3 2 2" xfId="8182"/>
    <cellStyle name="Normal 47 2 2 2 3 3" xfId="8183"/>
    <cellStyle name="Normal 47 2 2 2 4" xfId="8184"/>
    <cellStyle name="Normal 47 2 2 2 4 2" xfId="8185"/>
    <cellStyle name="Normal 47 2 2 2 5" xfId="8186"/>
    <cellStyle name="Normal 47 2 2 3" xfId="8187"/>
    <cellStyle name="Normal 47 2 2 3 2" xfId="8188"/>
    <cellStyle name="Normal 47 2 2 3 2 2" xfId="8189"/>
    <cellStyle name="Normal 47 2 2 3 3" xfId="8190"/>
    <cellStyle name="Normal 47 2 2 4" xfId="8191"/>
    <cellStyle name="Normal 47 2 2 4 2" xfId="8192"/>
    <cellStyle name="Normal 47 2 2 4 2 2" xfId="8193"/>
    <cellStyle name="Normal 47 2 2 4 3" xfId="8194"/>
    <cellStyle name="Normal 47 2 2 5" xfId="8195"/>
    <cellStyle name="Normal 47 2 2 5 2" xfId="8196"/>
    <cellStyle name="Normal 47 2 2 6" xfId="8197"/>
    <cellStyle name="Normal 47 2 3" xfId="8198"/>
    <cellStyle name="Normal 47 2 3 2" xfId="8199"/>
    <cellStyle name="Normal 47 2 3 2 2" xfId="8200"/>
    <cellStyle name="Normal 47 2 3 2 2 2" xfId="8201"/>
    <cellStyle name="Normal 47 2 3 2 3" xfId="8202"/>
    <cellStyle name="Normal 47 2 3 3" xfId="8203"/>
    <cellStyle name="Normal 47 2 3 3 2" xfId="8204"/>
    <cellStyle name="Normal 47 2 3 3 2 2" xfId="8205"/>
    <cellStyle name="Normal 47 2 3 3 3" xfId="8206"/>
    <cellStyle name="Normal 47 2 3 4" xfId="8207"/>
    <cellStyle name="Normal 47 2 3 4 2" xfId="8208"/>
    <cellStyle name="Normal 47 2 3 5" xfId="8209"/>
    <cellStyle name="Normal 47 2 4" xfId="8210"/>
    <cellStyle name="Normal 47 2 4 2" xfId="8211"/>
    <cellStyle name="Normal 47 2 4 2 2" xfId="8212"/>
    <cellStyle name="Normal 47 2 4 3" xfId="8213"/>
    <cellStyle name="Normal 47 2 5" xfId="8214"/>
    <cellStyle name="Normal 47 2 5 2" xfId="8215"/>
    <cellStyle name="Normal 47 2 5 2 2" xfId="8216"/>
    <cellStyle name="Normal 47 2 5 3" xfId="8217"/>
    <cellStyle name="Normal 47 2 6" xfId="8218"/>
    <cellStyle name="Normal 47 2 6 2" xfId="8219"/>
    <cellStyle name="Normal 47 2 7" xfId="8220"/>
    <cellStyle name="Normal 47 3" xfId="8221"/>
    <cellStyle name="Normal 47 3 2" xfId="8222"/>
    <cellStyle name="Normal 47 4" xfId="8223"/>
    <cellStyle name="Normal 47 5" xfId="8224"/>
    <cellStyle name="Normal 48" xfId="8225"/>
    <cellStyle name="Normal 48 2" xfId="8226"/>
    <cellStyle name="Normal 48 2 2" xfId="8227"/>
    <cellStyle name="Normal 48 2 2 2" xfId="8228"/>
    <cellStyle name="Normal 48 2 2 2 2" xfId="8229"/>
    <cellStyle name="Normal 48 2 2 2 2 2" xfId="8230"/>
    <cellStyle name="Normal 48 2 2 2 2 2 2" xfId="8231"/>
    <cellStyle name="Normal 48 2 2 2 2 3" xfId="8232"/>
    <cellStyle name="Normal 48 2 2 2 3" xfId="8233"/>
    <cellStyle name="Normal 48 2 2 2 3 2" xfId="8234"/>
    <cellStyle name="Normal 48 2 2 2 3 2 2" xfId="8235"/>
    <cellStyle name="Normal 48 2 2 2 3 3" xfId="8236"/>
    <cellStyle name="Normal 48 2 2 2 4" xfId="8237"/>
    <cellStyle name="Normal 48 2 2 2 4 2" xfId="8238"/>
    <cellStyle name="Normal 48 2 2 2 5" xfId="8239"/>
    <cellStyle name="Normal 48 2 2 3" xfId="8240"/>
    <cellStyle name="Normal 48 2 2 3 2" xfId="8241"/>
    <cellStyle name="Normal 48 2 2 3 2 2" xfId="8242"/>
    <cellStyle name="Normal 48 2 2 3 3" xfId="8243"/>
    <cellStyle name="Normal 48 2 2 4" xfId="8244"/>
    <cellStyle name="Normal 48 2 2 4 2" xfId="8245"/>
    <cellStyle name="Normal 48 2 2 4 2 2" xfId="8246"/>
    <cellStyle name="Normal 48 2 2 4 3" xfId="8247"/>
    <cellStyle name="Normal 48 2 2 5" xfId="8248"/>
    <cellStyle name="Normal 48 2 2 5 2" xfId="8249"/>
    <cellStyle name="Normal 48 2 2 6" xfId="8250"/>
    <cellStyle name="Normal 48 2 3" xfId="8251"/>
    <cellStyle name="Normal 48 2 3 2" xfId="8252"/>
    <cellStyle name="Normal 48 2 3 2 2" xfId="8253"/>
    <cellStyle name="Normal 48 2 3 2 2 2" xfId="8254"/>
    <cellStyle name="Normal 48 2 3 2 3" xfId="8255"/>
    <cellStyle name="Normal 48 2 3 3" xfId="8256"/>
    <cellStyle name="Normal 48 2 3 3 2" xfId="8257"/>
    <cellStyle name="Normal 48 2 3 3 2 2" xfId="8258"/>
    <cellStyle name="Normal 48 2 3 3 3" xfId="8259"/>
    <cellStyle name="Normal 48 2 3 4" xfId="8260"/>
    <cellStyle name="Normal 48 2 3 4 2" xfId="8261"/>
    <cellStyle name="Normal 48 2 3 5" xfId="8262"/>
    <cellStyle name="Normal 48 2 4" xfId="8263"/>
    <cellStyle name="Normal 48 2 4 2" xfId="8264"/>
    <cellStyle name="Normal 48 2 4 2 2" xfId="8265"/>
    <cellStyle name="Normal 48 2 4 3" xfId="8266"/>
    <cellStyle name="Normal 48 2 5" xfId="8267"/>
    <cellStyle name="Normal 48 2 5 2" xfId="8268"/>
    <cellStyle name="Normal 48 2 5 2 2" xfId="8269"/>
    <cellStyle name="Normal 48 2 5 3" xfId="8270"/>
    <cellStyle name="Normal 48 2 6" xfId="8271"/>
    <cellStyle name="Normal 48 2 6 2" xfId="8272"/>
    <cellStyle name="Normal 48 2 7" xfId="8273"/>
    <cellStyle name="Normal 48 3" xfId="8274"/>
    <cellStyle name="Normal 48 3 2" xfId="8275"/>
    <cellStyle name="Normal 48 3 2 2" xfId="8276"/>
    <cellStyle name="Normal 48 3 2 2 2" xfId="8277"/>
    <cellStyle name="Normal 48 3 2 2 2 2" xfId="8278"/>
    <cellStyle name="Normal 48 3 2 2 3" xfId="8279"/>
    <cellStyle name="Normal 48 3 2 3" xfId="8280"/>
    <cellStyle name="Normal 48 3 2 3 2" xfId="8281"/>
    <cellStyle name="Normal 48 3 2 3 2 2" xfId="8282"/>
    <cellStyle name="Normal 48 3 2 3 3" xfId="8283"/>
    <cellStyle name="Normal 48 3 2 4" xfId="8284"/>
    <cellStyle name="Normal 48 3 2 4 2" xfId="8285"/>
    <cellStyle name="Normal 48 3 2 5" xfId="8286"/>
    <cellStyle name="Normal 48 3 3" xfId="8287"/>
    <cellStyle name="Normal 48 3 3 2" xfId="8288"/>
    <cellStyle name="Normal 48 3 3 2 2" xfId="8289"/>
    <cellStyle name="Normal 48 3 3 3" xfId="8290"/>
    <cellStyle name="Normal 48 3 4" xfId="8291"/>
    <cellStyle name="Normal 48 3 4 2" xfId="8292"/>
    <cellStyle name="Normal 48 3 4 2 2" xfId="8293"/>
    <cellStyle name="Normal 48 3 4 3" xfId="8294"/>
    <cellStyle name="Normal 48 3 5" xfId="8295"/>
    <cellStyle name="Normal 48 3 5 2" xfId="8296"/>
    <cellStyle name="Normal 48 3 6" xfId="8297"/>
    <cellStyle name="Normal 48 4" xfId="8298"/>
    <cellStyle name="Normal 48 4 2" xfId="8299"/>
    <cellStyle name="Normal 48 4 2 2" xfId="8300"/>
    <cellStyle name="Normal 48 4 2 2 2" xfId="8301"/>
    <cellStyle name="Normal 48 4 2 3" xfId="8302"/>
    <cellStyle name="Normal 48 4 3" xfId="8303"/>
    <cellStyle name="Normal 48 4 3 2" xfId="8304"/>
    <cellStyle name="Normal 48 4 3 2 2" xfId="8305"/>
    <cellStyle name="Normal 48 4 3 3" xfId="8306"/>
    <cellStyle name="Normal 48 4 4" xfId="8307"/>
    <cellStyle name="Normal 48 4 4 2" xfId="8308"/>
    <cellStyle name="Normal 48 4 5" xfId="8309"/>
    <cellStyle name="Normal 48 5" xfId="8310"/>
    <cellStyle name="Normal 48 5 2" xfId="8311"/>
    <cellStyle name="Normal 48 5 2 2" xfId="8312"/>
    <cellStyle name="Normal 48 5 3" xfId="8313"/>
    <cellStyle name="Normal 48 6" xfId="8314"/>
    <cellStyle name="Normal 48 6 2" xfId="8315"/>
    <cellStyle name="Normal 48 6 2 2" xfId="8316"/>
    <cellStyle name="Normal 48 6 3" xfId="8317"/>
    <cellStyle name="Normal 48 7" xfId="8318"/>
    <cellStyle name="Normal 48 7 2" xfId="8319"/>
    <cellStyle name="Normal 48 8" xfId="8320"/>
    <cellStyle name="Normal 48 9" xfId="8321"/>
    <cellStyle name="Normal 49" xfId="8322"/>
    <cellStyle name="Normal 49 2" xfId="8323"/>
    <cellStyle name="Normal 49 2 2" xfId="8324"/>
    <cellStyle name="Normal 49 2 2 2" xfId="8325"/>
    <cellStyle name="Normal 49 2 2 2 2" xfId="8326"/>
    <cellStyle name="Normal 49 2 2 2 2 2" xfId="8327"/>
    <cellStyle name="Normal 49 2 2 2 2 2 2" xfId="8328"/>
    <cellStyle name="Normal 49 2 2 2 2 3" xfId="8329"/>
    <cellStyle name="Normal 49 2 2 2 3" xfId="8330"/>
    <cellStyle name="Normal 49 2 2 2 3 2" xfId="8331"/>
    <cellStyle name="Normal 49 2 2 2 3 2 2" xfId="8332"/>
    <cellStyle name="Normal 49 2 2 2 3 3" xfId="8333"/>
    <cellStyle name="Normal 49 2 2 2 4" xfId="8334"/>
    <cellStyle name="Normal 49 2 2 2 4 2" xfId="8335"/>
    <cellStyle name="Normal 49 2 2 2 5" xfId="8336"/>
    <cellStyle name="Normal 49 2 2 3" xfId="8337"/>
    <cellStyle name="Normal 49 2 2 3 2" xfId="8338"/>
    <cellStyle name="Normal 49 2 2 3 2 2" xfId="8339"/>
    <cellStyle name="Normal 49 2 2 3 3" xfId="8340"/>
    <cellStyle name="Normal 49 2 2 4" xfId="8341"/>
    <cellStyle name="Normal 49 2 2 4 2" xfId="8342"/>
    <cellStyle name="Normal 49 2 2 4 2 2" xfId="8343"/>
    <cellStyle name="Normal 49 2 2 4 3" xfId="8344"/>
    <cellStyle name="Normal 49 2 2 5" xfId="8345"/>
    <cellStyle name="Normal 49 2 2 5 2" xfId="8346"/>
    <cellStyle name="Normal 49 2 2 6" xfId="8347"/>
    <cellStyle name="Normal 49 2 3" xfId="8348"/>
    <cellStyle name="Normal 49 2 3 2" xfId="8349"/>
    <cellStyle name="Normal 49 2 3 2 2" xfId="8350"/>
    <cellStyle name="Normal 49 2 3 2 2 2" xfId="8351"/>
    <cellStyle name="Normal 49 2 3 2 3" xfId="8352"/>
    <cellStyle name="Normal 49 2 3 3" xfId="8353"/>
    <cellStyle name="Normal 49 2 3 3 2" xfId="8354"/>
    <cellStyle name="Normal 49 2 3 3 2 2" xfId="8355"/>
    <cellStyle name="Normal 49 2 3 3 3" xfId="8356"/>
    <cellStyle name="Normal 49 2 3 4" xfId="8357"/>
    <cellStyle name="Normal 49 2 3 4 2" xfId="8358"/>
    <cellStyle name="Normal 49 2 3 5" xfId="8359"/>
    <cellStyle name="Normal 49 2 4" xfId="8360"/>
    <cellStyle name="Normal 49 2 4 2" xfId="8361"/>
    <cellStyle name="Normal 49 2 4 2 2" xfId="8362"/>
    <cellStyle name="Normal 49 2 4 3" xfId="8363"/>
    <cellStyle name="Normal 49 2 5" xfId="8364"/>
    <cellStyle name="Normal 49 2 5 2" xfId="8365"/>
    <cellStyle name="Normal 49 2 5 2 2" xfId="8366"/>
    <cellStyle name="Normal 49 2 5 3" xfId="8367"/>
    <cellStyle name="Normal 49 2 6" xfId="8368"/>
    <cellStyle name="Normal 49 2 6 2" xfId="8369"/>
    <cellStyle name="Normal 49 2 7" xfId="8370"/>
    <cellStyle name="Normal 49 3" xfId="8371"/>
    <cellStyle name="Normal 49 3 2" xfId="8372"/>
    <cellStyle name="Normal 49 3 2 2" xfId="8373"/>
    <cellStyle name="Normal 49 3 2 2 2" xfId="8374"/>
    <cellStyle name="Normal 49 3 2 2 2 2" xfId="8375"/>
    <cellStyle name="Normal 49 3 2 2 3" xfId="8376"/>
    <cellStyle name="Normal 49 3 2 3" xfId="8377"/>
    <cellStyle name="Normal 49 3 2 3 2" xfId="8378"/>
    <cellStyle name="Normal 49 3 2 3 2 2" xfId="8379"/>
    <cellStyle name="Normal 49 3 2 3 3" xfId="8380"/>
    <cellStyle name="Normal 49 3 2 4" xfId="8381"/>
    <cellStyle name="Normal 49 3 2 4 2" xfId="8382"/>
    <cellStyle name="Normal 49 3 2 5" xfId="8383"/>
    <cellStyle name="Normal 49 3 3" xfId="8384"/>
    <cellStyle name="Normal 49 3 3 2" xfId="8385"/>
    <cellStyle name="Normal 49 3 3 2 2" xfId="8386"/>
    <cellStyle name="Normal 49 3 3 3" xfId="8387"/>
    <cellStyle name="Normal 49 3 4" xfId="8388"/>
    <cellStyle name="Normal 49 3 4 2" xfId="8389"/>
    <cellStyle name="Normal 49 3 4 2 2" xfId="8390"/>
    <cellStyle name="Normal 49 3 4 3" xfId="8391"/>
    <cellStyle name="Normal 49 3 5" xfId="8392"/>
    <cellStyle name="Normal 49 3 5 2" xfId="8393"/>
    <cellStyle name="Normal 49 3 6" xfId="8394"/>
    <cellStyle name="Normal 49 4" xfId="8395"/>
    <cellStyle name="Normal 49 4 2" xfId="8396"/>
    <cellStyle name="Normal 49 4 2 2" xfId="8397"/>
    <cellStyle name="Normal 49 4 2 2 2" xfId="8398"/>
    <cellStyle name="Normal 49 4 2 3" xfId="8399"/>
    <cellStyle name="Normal 49 4 3" xfId="8400"/>
    <cellStyle name="Normal 49 4 3 2" xfId="8401"/>
    <cellStyle name="Normal 49 4 3 2 2" xfId="8402"/>
    <cellStyle name="Normal 49 4 3 3" xfId="8403"/>
    <cellStyle name="Normal 49 4 4" xfId="8404"/>
    <cellStyle name="Normal 49 4 4 2" xfId="8405"/>
    <cellStyle name="Normal 49 4 5" xfId="8406"/>
    <cellStyle name="Normal 49 5" xfId="8407"/>
    <cellStyle name="Normal 49 5 2" xfId="8408"/>
    <cellStyle name="Normal 49 5 2 2" xfId="8409"/>
    <cellStyle name="Normal 49 5 3" xfId="8410"/>
    <cellStyle name="Normal 49 6" xfId="8411"/>
    <cellStyle name="Normal 49 6 2" xfId="8412"/>
    <cellStyle name="Normal 49 6 2 2" xfId="8413"/>
    <cellStyle name="Normal 49 6 3" xfId="8414"/>
    <cellStyle name="Normal 49 7" xfId="8415"/>
    <cellStyle name="Normal 49 7 2" xfId="8416"/>
    <cellStyle name="Normal 49 8" xfId="8417"/>
    <cellStyle name="Normal 49 9" xfId="8418"/>
    <cellStyle name="Normal 5" xfId="8419"/>
    <cellStyle name="Normal 5 10" xfId="8420"/>
    <cellStyle name="Normal 5 10 2" xfId="8421"/>
    <cellStyle name="Normal 5 11" xfId="8422"/>
    <cellStyle name="Normal 5 12" xfId="8423"/>
    <cellStyle name="Normal 5 2" xfId="8424"/>
    <cellStyle name="Normal 5 2 10" xfId="8425"/>
    <cellStyle name="Normal 5 2 10 2" xfId="8426"/>
    <cellStyle name="Normal 5 2 11" xfId="8427"/>
    <cellStyle name="Normal 5 2 11 2" xfId="8428"/>
    <cellStyle name="Normal 5 2 12" xfId="8429"/>
    <cellStyle name="Normal 5 2 13" xfId="8430"/>
    <cellStyle name="Normal 5 2 2" xfId="8431"/>
    <cellStyle name="Normal 5 2 2 2" xfId="8432"/>
    <cellStyle name="Normal 5 2 2 2 2" xfId="8433"/>
    <cellStyle name="Normal 5 2 2 2 2 2" xfId="8434"/>
    <cellStyle name="Normal 5 2 2 2 2 2 2" xfId="8435"/>
    <cellStyle name="Normal 5 2 2 2 2 2 2 2" xfId="8436"/>
    <cellStyle name="Normal 5 2 2 2 2 2 2 2 2" xfId="8437"/>
    <cellStyle name="Normal 5 2 2 2 2 2 2 3" xfId="8438"/>
    <cellStyle name="Normal 5 2 2 2 2 2 3" xfId="8439"/>
    <cellStyle name="Normal 5 2 2 2 2 2 3 2" xfId="8440"/>
    <cellStyle name="Normal 5 2 2 2 2 2 3 2 2" xfId="8441"/>
    <cellStyle name="Normal 5 2 2 2 2 2 3 3" xfId="8442"/>
    <cellStyle name="Normal 5 2 2 2 2 2 4" xfId="8443"/>
    <cellStyle name="Normal 5 2 2 2 2 2 4 2" xfId="8444"/>
    <cellStyle name="Normal 5 2 2 2 2 2 5" xfId="8445"/>
    <cellStyle name="Normal 5 2 2 2 2 3" xfId="8446"/>
    <cellStyle name="Normal 5 2 2 2 2 3 2" xfId="8447"/>
    <cellStyle name="Normal 5 2 2 2 2 3 2 2" xfId="8448"/>
    <cellStyle name="Normal 5 2 2 2 2 3 3" xfId="8449"/>
    <cellStyle name="Normal 5 2 2 2 2 4" xfId="8450"/>
    <cellStyle name="Normal 5 2 2 2 2 4 2" xfId="8451"/>
    <cellStyle name="Normal 5 2 2 2 2 4 2 2" xfId="8452"/>
    <cellStyle name="Normal 5 2 2 2 2 4 3" xfId="8453"/>
    <cellStyle name="Normal 5 2 2 2 2 5" xfId="8454"/>
    <cellStyle name="Normal 5 2 2 2 2 5 2" xfId="8455"/>
    <cellStyle name="Normal 5 2 2 2 2 6" xfId="8456"/>
    <cellStyle name="Normal 5 2 2 2 3" xfId="8457"/>
    <cellStyle name="Normal 5 2 2 2 3 2" xfId="8458"/>
    <cellStyle name="Normal 5 2 2 2 3 2 2" xfId="8459"/>
    <cellStyle name="Normal 5 2 2 2 3 2 2 2" xfId="8460"/>
    <cellStyle name="Normal 5 2 2 2 3 2 3" xfId="8461"/>
    <cellStyle name="Normal 5 2 2 2 3 3" xfId="8462"/>
    <cellStyle name="Normal 5 2 2 2 3 3 2" xfId="8463"/>
    <cellStyle name="Normal 5 2 2 2 3 3 2 2" xfId="8464"/>
    <cellStyle name="Normal 5 2 2 2 3 3 3" xfId="8465"/>
    <cellStyle name="Normal 5 2 2 2 3 4" xfId="8466"/>
    <cellStyle name="Normal 5 2 2 2 3 4 2" xfId="8467"/>
    <cellStyle name="Normal 5 2 2 2 3 5" xfId="8468"/>
    <cellStyle name="Normal 5 2 2 2 4" xfId="8469"/>
    <cellStyle name="Normal 5 2 2 2 4 2" xfId="8470"/>
    <cellStyle name="Normal 5 2 2 2 4 2 2" xfId="8471"/>
    <cellStyle name="Normal 5 2 2 2 4 3" xfId="8472"/>
    <cellStyle name="Normal 5 2 2 2 5" xfId="8473"/>
    <cellStyle name="Normal 5 2 2 2 5 2" xfId="8474"/>
    <cellStyle name="Normal 5 2 2 2 5 2 2" xfId="8475"/>
    <cellStyle name="Normal 5 2 2 2 5 3" xfId="8476"/>
    <cellStyle name="Normal 5 2 2 2 6" xfId="8477"/>
    <cellStyle name="Normal 5 2 2 2 6 2" xfId="8478"/>
    <cellStyle name="Normal 5 2 2 2 7" xfId="8479"/>
    <cellStyle name="Normal 5 2 2 3" xfId="8480"/>
    <cellStyle name="Normal 5 2 2 3 2" xfId="8481"/>
    <cellStyle name="Normal 5 2 2 3 2 2" xfId="8482"/>
    <cellStyle name="Normal 5 2 2 3 2 2 2" xfId="8483"/>
    <cellStyle name="Normal 5 2 2 3 2 2 2 2" xfId="8484"/>
    <cellStyle name="Normal 5 2 2 3 2 2 3" xfId="8485"/>
    <cellStyle name="Normal 5 2 2 3 2 3" xfId="8486"/>
    <cellStyle name="Normal 5 2 2 3 2 3 2" xfId="8487"/>
    <cellStyle name="Normal 5 2 2 3 2 3 2 2" xfId="8488"/>
    <cellStyle name="Normal 5 2 2 3 2 3 3" xfId="8489"/>
    <cellStyle name="Normal 5 2 2 3 2 4" xfId="8490"/>
    <cellStyle name="Normal 5 2 2 3 2 4 2" xfId="8491"/>
    <cellStyle name="Normal 5 2 2 3 2 5" xfId="8492"/>
    <cellStyle name="Normal 5 2 2 3 3" xfId="8493"/>
    <cellStyle name="Normal 5 2 2 3 3 2" xfId="8494"/>
    <cellStyle name="Normal 5 2 2 3 3 2 2" xfId="8495"/>
    <cellStyle name="Normal 5 2 2 3 3 3" xfId="8496"/>
    <cellStyle name="Normal 5 2 2 3 4" xfId="8497"/>
    <cellStyle name="Normal 5 2 2 3 4 2" xfId="8498"/>
    <cellStyle name="Normal 5 2 2 3 4 2 2" xfId="8499"/>
    <cellStyle name="Normal 5 2 2 3 4 3" xfId="8500"/>
    <cellStyle name="Normal 5 2 2 3 5" xfId="8501"/>
    <cellStyle name="Normal 5 2 2 3 5 2" xfId="8502"/>
    <cellStyle name="Normal 5 2 2 3 6" xfId="8503"/>
    <cellStyle name="Normal 5 2 2 4" xfId="8504"/>
    <cellStyle name="Normal 5 2 2 4 2" xfId="8505"/>
    <cellStyle name="Normal 5 2 2 4 2 2" xfId="8506"/>
    <cellStyle name="Normal 5 2 2 4 2 2 2" xfId="8507"/>
    <cellStyle name="Normal 5 2 2 4 2 3" xfId="8508"/>
    <cellStyle name="Normal 5 2 2 4 3" xfId="8509"/>
    <cellStyle name="Normal 5 2 2 4 3 2" xfId="8510"/>
    <cellStyle name="Normal 5 2 2 4 3 2 2" xfId="8511"/>
    <cellStyle name="Normal 5 2 2 4 3 3" xfId="8512"/>
    <cellStyle name="Normal 5 2 2 4 4" xfId="8513"/>
    <cellStyle name="Normal 5 2 2 4 4 2" xfId="8514"/>
    <cellStyle name="Normal 5 2 2 4 5" xfId="8515"/>
    <cellStyle name="Normal 5 2 2 5" xfId="8516"/>
    <cellStyle name="Normal 5 2 2 5 2" xfId="8517"/>
    <cellStyle name="Normal 5 2 2 5 2 2" xfId="8518"/>
    <cellStyle name="Normal 5 2 2 5 3" xfId="8519"/>
    <cellStyle name="Normal 5 2 2 6" xfId="8520"/>
    <cellStyle name="Normal 5 2 2 6 2" xfId="8521"/>
    <cellStyle name="Normal 5 2 2 6 2 2" xfId="8522"/>
    <cellStyle name="Normal 5 2 2 6 3" xfId="8523"/>
    <cellStyle name="Normal 5 2 2 7" xfId="8524"/>
    <cellStyle name="Normal 5 2 2 7 2" xfId="8525"/>
    <cellStyle name="Normal 5 2 2 8" xfId="8526"/>
    <cellStyle name="Normal 5 2 3" xfId="8527"/>
    <cellStyle name="Normal 5 2 3 2" xfId="8528"/>
    <cellStyle name="Normal 5 2 3 2 2" xfId="8529"/>
    <cellStyle name="Normal 5 2 3 2 2 2" xfId="8530"/>
    <cellStyle name="Normal 5 2 3 2 2 2 2" xfId="8531"/>
    <cellStyle name="Normal 5 2 3 2 2 2 2 2" xfId="8532"/>
    <cellStyle name="Normal 5 2 3 2 2 2 3" xfId="8533"/>
    <cellStyle name="Normal 5 2 3 2 2 3" xfId="8534"/>
    <cellStyle name="Normal 5 2 3 2 2 3 2" xfId="8535"/>
    <cellStyle name="Normal 5 2 3 2 2 3 2 2" xfId="8536"/>
    <cellStyle name="Normal 5 2 3 2 2 3 3" xfId="8537"/>
    <cellStyle name="Normal 5 2 3 2 2 4" xfId="8538"/>
    <cellStyle name="Normal 5 2 3 2 2 4 2" xfId="8539"/>
    <cellStyle name="Normal 5 2 3 2 2 5" xfId="8540"/>
    <cellStyle name="Normal 5 2 3 2 3" xfId="8541"/>
    <cellStyle name="Normal 5 2 3 2 3 2" xfId="8542"/>
    <cellStyle name="Normal 5 2 3 2 3 2 2" xfId="8543"/>
    <cellStyle name="Normal 5 2 3 2 3 3" xfId="8544"/>
    <cellStyle name="Normal 5 2 3 2 4" xfId="8545"/>
    <cellStyle name="Normal 5 2 3 2 4 2" xfId="8546"/>
    <cellStyle name="Normal 5 2 3 2 4 2 2" xfId="8547"/>
    <cellStyle name="Normal 5 2 3 2 4 3" xfId="8548"/>
    <cellStyle name="Normal 5 2 3 2 5" xfId="8549"/>
    <cellStyle name="Normal 5 2 3 2 5 2" xfId="8550"/>
    <cellStyle name="Normal 5 2 3 2 6" xfId="8551"/>
    <cellStyle name="Normal 5 2 3 3" xfId="8552"/>
    <cellStyle name="Normal 5 2 3 3 2" xfId="8553"/>
    <cellStyle name="Normal 5 2 3 3 2 2" xfId="8554"/>
    <cellStyle name="Normal 5 2 3 3 2 2 2" xfId="8555"/>
    <cellStyle name="Normal 5 2 3 3 2 3" xfId="8556"/>
    <cellStyle name="Normal 5 2 3 3 3" xfId="8557"/>
    <cellStyle name="Normal 5 2 3 3 3 2" xfId="8558"/>
    <cellStyle name="Normal 5 2 3 3 3 2 2" xfId="8559"/>
    <cellStyle name="Normal 5 2 3 3 3 3" xfId="8560"/>
    <cellStyle name="Normal 5 2 3 3 4" xfId="8561"/>
    <cellStyle name="Normal 5 2 3 3 4 2" xfId="8562"/>
    <cellStyle name="Normal 5 2 3 3 5" xfId="8563"/>
    <cellStyle name="Normal 5 2 3 4" xfId="8564"/>
    <cellStyle name="Normal 5 2 3 4 2" xfId="8565"/>
    <cellStyle name="Normal 5 2 3 4 2 2" xfId="8566"/>
    <cellStyle name="Normal 5 2 3 4 3" xfId="8567"/>
    <cellStyle name="Normal 5 2 3 4 3 2" xfId="8568"/>
    <cellStyle name="Normal 5 2 3 4 4" xfId="8569"/>
    <cellStyle name="Normal 5 2 3 5" xfId="8570"/>
    <cellStyle name="Normal 5 2 3 5 2" xfId="8571"/>
    <cellStyle name="Normal 5 2 3 5 2 2" xfId="8572"/>
    <cellStyle name="Normal 5 2 3 5 3" xfId="8573"/>
    <cellStyle name="Normal 5 2 3 6" xfId="8574"/>
    <cellStyle name="Normal 5 2 3 6 2" xfId="8575"/>
    <cellStyle name="Normal 5 2 3 7" xfId="8576"/>
    <cellStyle name="Normal 5 2 4" xfId="8577"/>
    <cellStyle name="Normal 5 2 4 2" xfId="8578"/>
    <cellStyle name="Normal 5 2 4 2 2" xfId="8579"/>
    <cellStyle name="Normal 5 2 4 2 2 2" xfId="8580"/>
    <cellStyle name="Normal 5 2 4 2 2 2 2" xfId="8581"/>
    <cellStyle name="Normal 5 2 4 2 2 3" xfId="8582"/>
    <cellStyle name="Normal 5 2 4 2 3" xfId="8583"/>
    <cellStyle name="Normal 5 2 4 2 3 2" xfId="8584"/>
    <cellStyle name="Normal 5 2 4 2 3 2 2" xfId="8585"/>
    <cellStyle name="Normal 5 2 4 2 3 3" xfId="8586"/>
    <cellStyle name="Normal 5 2 4 2 4" xfId="8587"/>
    <cellStyle name="Normal 5 2 4 2 4 2" xfId="8588"/>
    <cellStyle name="Normal 5 2 4 2 5" xfId="8589"/>
    <cellStyle name="Normal 5 2 4 2 5 2" xfId="8590"/>
    <cellStyle name="Normal 5 2 4 2 6" xfId="8591"/>
    <cellStyle name="Normal 5 2 4 3" xfId="8592"/>
    <cellStyle name="Normal 5 2 4 3 2" xfId="8593"/>
    <cellStyle name="Normal 5 2 4 3 2 2" xfId="8594"/>
    <cellStyle name="Normal 5 2 4 3 3" xfId="8595"/>
    <cellStyle name="Normal 5 2 4 3 3 2" xfId="8596"/>
    <cellStyle name="Normal 5 2 4 3 4" xfId="8597"/>
    <cellStyle name="Normal 5 2 4 4" xfId="8598"/>
    <cellStyle name="Normal 5 2 4 4 2" xfId="8599"/>
    <cellStyle name="Normal 5 2 4 4 2 2" xfId="8600"/>
    <cellStyle name="Normal 5 2 4 4 3" xfId="8601"/>
    <cellStyle name="Normal 5 2 4 4 3 2" xfId="8602"/>
    <cellStyle name="Normal 5 2 4 4 4" xfId="8603"/>
    <cellStyle name="Normal 5 2 4 5" xfId="8604"/>
    <cellStyle name="Normal 5 2 4 5 2" xfId="8605"/>
    <cellStyle name="Normal 5 2 4 6" xfId="8606"/>
    <cellStyle name="Normal 5 2 4 6 2" xfId="8607"/>
    <cellStyle name="Normal 5 2 4 7" xfId="8608"/>
    <cellStyle name="Normal 5 2 5" xfId="8609"/>
    <cellStyle name="Normal 5 2 5 10" xfId="8610"/>
    <cellStyle name="Normal 5 2 5 10 2" xfId="8611"/>
    <cellStyle name="Normal 5 2 5 10 2 2" xfId="8612"/>
    <cellStyle name="Normal 5 2 5 10 3" xfId="8613"/>
    <cellStyle name="Normal 5 2 5 10 3 2" xfId="8614"/>
    <cellStyle name="Normal 5 2 5 10 4" xfId="8615"/>
    <cellStyle name="Normal 5 2 5 11" xfId="8616"/>
    <cellStyle name="Normal 5 2 5 11 2" xfId="8617"/>
    <cellStyle name="Normal 5 2 5 11 2 2" xfId="8618"/>
    <cellStyle name="Normal 5 2 5 11 3" xfId="8619"/>
    <cellStyle name="Normal 5 2 5 12" xfId="8620"/>
    <cellStyle name="Normal 5 2 5 12 2" xfId="8621"/>
    <cellStyle name="Normal 5 2 5 12 2 2" xfId="8622"/>
    <cellStyle name="Normal 5 2 5 12 3" xfId="8623"/>
    <cellStyle name="Normal 5 2 5 13" xfId="8624"/>
    <cellStyle name="Normal 5 2 5 13 2" xfId="8625"/>
    <cellStyle name="Normal 5 2 5 14" xfId="8626"/>
    <cellStyle name="Normal 5 2 5 14 2" xfId="8627"/>
    <cellStyle name="Normal 5 2 5 15" xfId="8628"/>
    <cellStyle name="Normal 5 2 5 15 2" xfId="8629"/>
    <cellStyle name="Normal 5 2 5 16" xfId="8630"/>
    <cellStyle name="Normal 5 2 5 16 2" xfId="8631"/>
    <cellStyle name="Normal 5 2 5 17" xfId="8632"/>
    <cellStyle name="Normal 5 2 5 17 2" xfId="8633"/>
    <cellStyle name="Normal 5 2 5 18" xfId="8634"/>
    <cellStyle name="Normal 5 2 5 18 2" xfId="8635"/>
    <cellStyle name="Normal 5 2 5 19" xfId="8636"/>
    <cellStyle name="Normal 5 2 5 19 2" xfId="8637"/>
    <cellStyle name="Normal 5 2 5 19 2 2" xfId="8638"/>
    <cellStyle name="Normal 5 2 5 19 3" xfId="8639"/>
    <cellStyle name="Normal 5 2 5 19 3 2" xfId="8640"/>
    <cellStyle name="Normal 5 2 5 19 4" xfId="8641"/>
    <cellStyle name="Normal 5 2 5 19 4 2" xfId="8642"/>
    <cellStyle name="Normal 5 2 5 19 5" xfId="8643"/>
    <cellStyle name="Normal 5 2 5 19 5 2" xfId="8644"/>
    <cellStyle name="Normal 5 2 5 19 6" xfId="8645"/>
    <cellStyle name="Normal 5 2 5 19 6 2" xfId="8646"/>
    <cellStyle name="Normal 5 2 5 19 7" xfId="8647"/>
    <cellStyle name="Normal 5 2 5 19 7 2" xfId="8648"/>
    <cellStyle name="Normal 5 2 5 19 8" xfId="8649"/>
    <cellStyle name="Normal 5 2 5 2" xfId="8650"/>
    <cellStyle name="Normal 5 2 5 2 2" xfId="8651"/>
    <cellStyle name="Normal 5 2 5 2 2 2" xfId="8652"/>
    <cellStyle name="Normal 5 2 5 2 2 2 2" xfId="8653"/>
    <cellStyle name="Normal 5 2 5 2 2 3" xfId="8654"/>
    <cellStyle name="Normal 5 2 5 2 2 3 2" xfId="8655"/>
    <cellStyle name="Normal 5 2 5 2 2 4" xfId="8656"/>
    <cellStyle name="Normal 5 2 5 2 2 4 2" xfId="8657"/>
    <cellStyle name="Normal 5 2 5 2 2 5" xfId="8658"/>
    <cellStyle name="Normal 5 2 5 2 2 5 2" xfId="8659"/>
    <cellStyle name="Normal 5 2 5 2 2 6" xfId="8660"/>
    <cellStyle name="Normal 5 2 5 2 3" xfId="8661"/>
    <cellStyle name="Normal 5 2 5 2 3 2" xfId="8662"/>
    <cellStyle name="Normal 5 2 5 2 3 2 2" xfId="8663"/>
    <cellStyle name="Normal 5 2 5 2 3 3" xfId="8664"/>
    <cellStyle name="Normal 5 2 5 2 3 3 2" xfId="8665"/>
    <cellStyle name="Normal 5 2 5 2 3 4" xfId="8666"/>
    <cellStyle name="Normal 5 2 5 2 4" xfId="8667"/>
    <cellStyle name="Normal 5 2 5 2 4 2" xfId="8668"/>
    <cellStyle name="Normal 5 2 5 2 4 2 2" xfId="8669"/>
    <cellStyle name="Normal 5 2 5 2 4 3" xfId="8670"/>
    <cellStyle name="Normal 5 2 5 2 4 3 2" xfId="8671"/>
    <cellStyle name="Normal 5 2 5 2 4 4" xfId="8672"/>
    <cellStyle name="Normal 5 2 5 2 5" xfId="8673"/>
    <cellStyle name="Normal 5 2 5 2 5 2" xfId="8674"/>
    <cellStyle name="Normal 5 2 5 2 6" xfId="8675"/>
    <cellStyle name="Normal 5 2 5 2 6 2" xfId="8676"/>
    <cellStyle name="Normal 5 2 5 2 7" xfId="8677"/>
    <cellStyle name="Normal 5 2 5 20" xfId="8678"/>
    <cellStyle name="Normal 5 2 5 20 2" xfId="8679"/>
    <cellStyle name="Normal 5 2 5 21" xfId="8680"/>
    <cellStyle name="Normal 5 2 5 21 2" xfId="8681"/>
    <cellStyle name="Normal 5 2 5 22" xfId="8682"/>
    <cellStyle name="Normal 5 2 5 22 2" xfId="8683"/>
    <cellStyle name="Normal 5 2 5 23" xfId="8684"/>
    <cellStyle name="Normal 5 2 5 23 2" xfId="8685"/>
    <cellStyle name="Normal 5 2 5 24" xfId="8686"/>
    <cellStyle name="Normal 5 2 5 24 2" xfId="8687"/>
    <cellStyle name="Normal 5 2 5 25" xfId="8688"/>
    <cellStyle name="Normal 5 2 5 25 2" xfId="8689"/>
    <cellStyle name="Normal 5 2 5 26" xfId="8690"/>
    <cellStyle name="Normal 5 2 5 26 2" xfId="8691"/>
    <cellStyle name="Normal 5 2 5 27" xfId="8692"/>
    <cellStyle name="Normal 5 2 5 27 2" xfId="8693"/>
    <cellStyle name="Normal 5 2 5 28" xfId="8694"/>
    <cellStyle name="Normal 5 2 5 3" xfId="8695"/>
    <cellStyle name="Normal 5 2 5 3 10" xfId="8696"/>
    <cellStyle name="Normal 5 2 5 3 10 2" xfId="8697"/>
    <cellStyle name="Normal 5 2 5 3 11" xfId="8698"/>
    <cellStyle name="Normal 5 2 5 3 11 2" xfId="8699"/>
    <cellStyle name="Normal 5 2 5 3 12" xfId="8700"/>
    <cellStyle name="Normal 5 2 5 3 12 2" xfId="8701"/>
    <cellStyle name="Normal 5 2 5 3 13" xfId="8702"/>
    <cellStyle name="Normal 5 2 5 3 13 2" xfId="8703"/>
    <cellStyle name="Normal 5 2 5 3 14" xfId="8704"/>
    <cellStyle name="Normal 5 2 5 3 14 2" xfId="8705"/>
    <cellStyle name="Normal 5 2 5 3 15" xfId="8706"/>
    <cellStyle name="Normal 5 2 5 3 15 2" xfId="8707"/>
    <cellStyle name="Normal 5 2 5 3 16" xfId="8708"/>
    <cellStyle name="Normal 5 2 5 3 16 2" xfId="8709"/>
    <cellStyle name="Normal 5 2 5 3 17" xfId="8710"/>
    <cellStyle name="Normal 5 2 5 3 17 2" xfId="8711"/>
    <cellStyle name="Normal 5 2 5 3 18" xfId="8712"/>
    <cellStyle name="Normal 5 2 5 3 18 2" xfId="8713"/>
    <cellStyle name="Normal 5 2 5 3 19" xfId="8714"/>
    <cellStyle name="Normal 5 2 5 3 19 2" xfId="8715"/>
    <cellStyle name="Normal 5 2 5 3 2" xfId="8716"/>
    <cellStyle name="Normal 5 2 5 3 2 2" xfId="8717"/>
    <cellStyle name="Normal 5 2 5 3 2 2 2" xfId="8718"/>
    <cellStyle name="Normal 5 2 5 3 2 2 2 2" xfId="8719"/>
    <cellStyle name="Normal 5 2 5 3 2 2 3" xfId="8720"/>
    <cellStyle name="Normal 5 2 5 3 2 2 3 2" xfId="8721"/>
    <cellStyle name="Normal 5 2 5 3 2 2 4" xfId="8722"/>
    <cellStyle name="Normal 5 2 5 3 2 3" xfId="8723"/>
    <cellStyle name="Normal 5 2 5 3 2 3 2" xfId="8724"/>
    <cellStyle name="Normal 5 2 5 3 2 3 2 2" xfId="8725"/>
    <cellStyle name="Normal 5 2 5 3 2 3 3" xfId="8726"/>
    <cellStyle name="Normal 5 2 5 3 2 3 3 2" xfId="8727"/>
    <cellStyle name="Normal 5 2 5 3 2 3 4" xfId="8728"/>
    <cellStyle name="Normal 5 2 5 3 2 4" xfId="8729"/>
    <cellStyle name="Normal 5 2 5 3 2 4 2" xfId="8730"/>
    <cellStyle name="Normal 5 2 5 3 2 5" xfId="8731"/>
    <cellStyle name="Normal 5 2 5 3 2 5 2" xfId="8732"/>
    <cellStyle name="Normal 5 2 5 3 2 6" xfId="8733"/>
    <cellStyle name="Normal 5 2 5 3 20" xfId="8734"/>
    <cellStyle name="Normal 5 2 5 3 3" xfId="8735"/>
    <cellStyle name="Normal 5 2 5 3 3 2" xfId="8736"/>
    <cellStyle name="Normal 5 2 5 3 3 2 2" xfId="8737"/>
    <cellStyle name="Normal 5 2 5 3 3 3" xfId="8738"/>
    <cellStyle name="Normal 5 2 5 3 3 3 2" xfId="8739"/>
    <cellStyle name="Normal 5 2 5 3 3 4" xfId="8740"/>
    <cellStyle name="Normal 5 2 5 3 3 4 2" xfId="8741"/>
    <cellStyle name="Normal 5 2 5 3 3 5" xfId="8742"/>
    <cellStyle name="Normal 5 2 5 3 3 5 2" xfId="8743"/>
    <cellStyle name="Normal 5 2 5 3 3 6" xfId="8744"/>
    <cellStyle name="Normal 5 2 5 3 4" xfId="8745"/>
    <cellStyle name="Normal 5 2 5 3 4 2" xfId="8746"/>
    <cellStyle name="Normal 5 2 5 3 4 2 2" xfId="8747"/>
    <cellStyle name="Normal 5 2 5 3 4 3" xfId="8748"/>
    <cellStyle name="Normal 5 2 5 3 4 3 2" xfId="8749"/>
    <cellStyle name="Normal 5 2 5 3 4 4" xfId="8750"/>
    <cellStyle name="Normal 5 2 5 3 5" xfId="8751"/>
    <cellStyle name="Normal 5 2 5 3 5 2" xfId="8752"/>
    <cellStyle name="Normal 5 2 5 3 5 2 2" xfId="8753"/>
    <cellStyle name="Normal 5 2 5 3 5 3" xfId="8754"/>
    <cellStyle name="Normal 5 2 5 3 5 3 2" xfId="8755"/>
    <cellStyle name="Normal 5 2 5 3 5 4" xfId="8756"/>
    <cellStyle name="Normal 5 2 5 3 6" xfId="8757"/>
    <cellStyle name="Normal 5 2 5 3 6 2" xfId="8758"/>
    <cellStyle name="Normal 5 2 5 3 7" xfId="8759"/>
    <cellStyle name="Normal 5 2 5 3 7 2" xfId="8760"/>
    <cellStyle name="Normal 5 2 5 3 8" xfId="8761"/>
    <cellStyle name="Normal 5 2 5 3 8 2" xfId="8762"/>
    <cellStyle name="Normal 5 2 5 3 9" xfId="8763"/>
    <cellStyle name="Normal 5 2 5 3 9 2" xfId="8764"/>
    <cellStyle name="Normal 5 2 5 4" xfId="8765"/>
    <cellStyle name="Normal 5 2 5 4 2" xfId="8766"/>
    <cellStyle name="Normal 5 2 5 4 2 2" xfId="8767"/>
    <cellStyle name="Normal 5 2 5 4 2 2 2" xfId="8768"/>
    <cellStyle name="Normal 5 2 5 4 2 3" xfId="8769"/>
    <cellStyle name="Normal 5 2 5 4 2 3 2" xfId="8770"/>
    <cellStyle name="Normal 5 2 5 4 2 4" xfId="8771"/>
    <cellStyle name="Normal 5 2 5 4 2 4 2" xfId="8772"/>
    <cellStyle name="Normal 5 2 5 4 2 5" xfId="8773"/>
    <cellStyle name="Normal 5 2 5 4 2 5 2" xfId="8774"/>
    <cellStyle name="Normal 5 2 5 4 2 6" xfId="8775"/>
    <cellStyle name="Normal 5 2 5 4 3" xfId="8776"/>
    <cellStyle name="Normal 5 2 5 4 3 2" xfId="8777"/>
    <cellStyle name="Normal 5 2 5 4 3 2 2" xfId="8778"/>
    <cellStyle name="Normal 5 2 5 4 3 3" xfId="8779"/>
    <cellStyle name="Normal 5 2 5 4 3 3 2" xfId="8780"/>
    <cellStyle name="Normal 5 2 5 4 3 4" xfId="8781"/>
    <cellStyle name="Normal 5 2 5 4 4" xfId="8782"/>
    <cellStyle name="Normal 5 2 5 4 4 2" xfId="8783"/>
    <cellStyle name="Normal 5 2 5 4 4 2 2" xfId="8784"/>
    <cellStyle name="Normal 5 2 5 4 4 3" xfId="8785"/>
    <cellStyle name="Normal 5 2 5 4 4 3 2" xfId="8786"/>
    <cellStyle name="Normal 5 2 5 4 4 4" xfId="8787"/>
    <cellStyle name="Normal 5 2 5 4 5" xfId="8788"/>
    <cellStyle name="Normal 5 2 5 4 5 2" xfId="8789"/>
    <cellStyle name="Normal 5 2 5 4 6" xfId="8790"/>
    <cellStyle name="Normal 5 2 5 4 6 2" xfId="8791"/>
    <cellStyle name="Normal 5 2 5 4 7" xfId="8792"/>
    <cellStyle name="Normal 5 2 5 5" xfId="8793"/>
    <cellStyle name="Normal 5 2 5 5 2" xfId="8794"/>
    <cellStyle name="Normal 5 2 5 5 2 2" xfId="8795"/>
    <cellStyle name="Normal 5 2 5 5 2 2 2" xfId="8796"/>
    <cellStyle name="Normal 5 2 5 5 2 3" xfId="8797"/>
    <cellStyle name="Normal 5 2 5 5 2 3 2" xfId="8798"/>
    <cellStyle name="Normal 5 2 5 5 2 4" xfId="8799"/>
    <cellStyle name="Normal 5 2 5 5 2 4 2" xfId="8800"/>
    <cellStyle name="Normal 5 2 5 5 2 5" xfId="8801"/>
    <cellStyle name="Normal 5 2 5 5 2 5 2" xfId="8802"/>
    <cellStyle name="Normal 5 2 5 5 2 6" xfId="8803"/>
    <cellStyle name="Normal 5 2 5 5 3" xfId="8804"/>
    <cellStyle name="Normal 5 2 5 5 3 2" xfId="8805"/>
    <cellStyle name="Normal 5 2 5 5 3 2 2" xfId="8806"/>
    <cellStyle name="Normal 5 2 5 5 3 3" xfId="8807"/>
    <cellStyle name="Normal 5 2 5 5 3 3 2" xfId="8808"/>
    <cellStyle name="Normal 5 2 5 5 3 4" xfId="8809"/>
    <cellStyle name="Normal 5 2 5 5 4" xfId="8810"/>
    <cellStyle name="Normal 5 2 5 5 4 2" xfId="8811"/>
    <cellStyle name="Normal 5 2 5 5 4 2 2" xfId="8812"/>
    <cellStyle name="Normal 5 2 5 5 4 3" xfId="8813"/>
    <cellStyle name="Normal 5 2 5 5 4 3 2" xfId="8814"/>
    <cellStyle name="Normal 5 2 5 5 4 4" xfId="8815"/>
    <cellStyle name="Normal 5 2 5 5 5" xfId="8816"/>
    <cellStyle name="Normal 5 2 5 5 5 2" xfId="8817"/>
    <cellStyle name="Normal 5 2 5 5 6" xfId="8818"/>
    <cellStyle name="Normal 5 2 5 5 6 2" xfId="8819"/>
    <cellStyle name="Normal 5 2 5 5 7" xfId="8820"/>
    <cellStyle name="Normal 5 2 5 6" xfId="8821"/>
    <cellStyle name="Normal 5 2 5 6 2" xfId="8822"/>
    <cellStyle name="Normal 5 2 5 6 2 2" xfId="8823"/>
    <cellStyle name="Normal 5 2 5 6 2 2 2" xfId="8824"/>
    <cellStyle name="Normal 5 2 5 6 2 3" xfId="8825"/>
    <cellStyle name="Normal 5 2 5 6 2 3 2" xfId="8826"/>
    <cellStyle name="Normal 5 2 5 6 2 4" xfId="8827"/>
    <cellStyle name="Normal 5 2 5 6 2 4 2" xfId="8828"/>
    <cellStyle name="Normal 5 2 5 6 2 5" xfId="8829"/>
    <cellStyle name="Normal 5 2 5 6 2 5 2" xfId="8830"/>
    <cellStyle name="Normal 5 2 5 6 2 6" xfId="8831"/>
    <cellStyle name="Normal 5 2 5 6 3" xfId="8832"/>
    <cellStyle name="Normal 5 2 5 6 3 2" xfId="8833"/>
    <cellStyle name="Normal 5 2 5 6 3 2 2" xfId="8834"/>
    <cellStyle name="Normal 5 2 5 6 3 3" xfId="8835"/>
    <cellStyle name="Normal 5 2 5 6 3 3 2" xfId="8836"/>
    <cellStyle name="Normal 5 2 5 6 3 4" xfId="8837"/>
    <cellStyle name="Normal 5 2 5 6 4" xfId="8838"/>
    <cellStyle name="Normal 5 2 5 6 4 2" xfId="8839"/>
    <cellStyle name="Normal 5 2 5 6 4 2 2" xfId="8840"/>
    <cellStyle name="Normal 5 2 5 6 4 3" xfId="8841"/>
    <cellStyle name="Normal 5 2 5 6 4 3 2" xfId="8842"/>
    <cellStyle name="Normal 5 2 5 6 4 4" xfId="8843"/>
    <cellStyle name="Normal 5 2 5 6 5" xfId="8844"/>
    <cellStyle name="Normal 5 2 5 6 5 2" xfId="8845"/>
    <cellStyle name="Normal 5 2 5 6 6" xfId="8846"/>
    <cellStyle name="Normal 5 2 5 6 6 2" xfId="8847"/>
    <cellStyle name="Normal 5 2 5 6 7" xfId="8848"/>
    <cellStyle name="Normal 5 2 5 7" xfId="8849"/>
    <cellStyle name="Normal 5 2 5 7 2" xfId="8850"/>
    <cellStyle name="Normal 5 2 5 7 2 2" xfId="8851"/>
    <cellStyle name="Normal 5 2 5 7 2 2 2" xfId="8852"/>
    <cellStyle name="Normal 5 2 5 7 2 3" xfId="8853"/>
    <cellStyle name="Normal 5 2 5 7 2 3 2" xfId="8854"/>
    <cellStyle name="Normal 5 2 5 7 2 4" xfId="8855"/>
    <cellStyle name="Normal 5 2 5 7 3" xfId="8856"/>
    <cellStyle name="Normal 5 2 5 7 3 2" xfId="8857"/>
    <cellStyle name="Normal 5 2 5 7 3 2 2" xfId="8858"/>
    <cellStyle name="Normal 5 2 5 7 3 3" xfId="8859"/>
    <cellStyle name="Normal 5 2 5 7 3 3 2" xfId="8860"/>
    <cellStyle name="Normal 5 2 5 7 3 4" xfId="8861"/>
    <cellStyle name="Normal 5 2 5 7 4" xfId="8862"/>
    <cellStyle name="Normal 5 2 5 7 4 2" xfId="8863"/>
    <cellStyle name="Normal 5 2 5 7 4 2 2" xfId="8864"/>
    <cellStyle name="Normal 5 2 5 7 4 3" xfId="8865"/>
    <cellStyle name="Normal 5 2 5 7 5" xfId="8866"/>
    <cellStyle name="Normal 5 2 5 7 5 2" xfId="8867"/>
    <cellStyle name="Normal 5 2 5 7 6" xfId="8868"/>
    <cellStyle name="Normal 5 2 5 7 6 2" xfId="8869"/>
    <cellStyle name="Normal 5 2 5 7 7" xfId="8870"/>
    <cellStyle name="Normal 5 2 5 8" xfId="8871"/>
    <cellStyle name="Normal 5 2 5 8 2" xfId="8872"/>
    <cellStyle name="Normal 5 2 5 8 2 2" xfId="8873"/>
    <cellStyle name="Normal 5 2 5 8 3" xfId="8874"/>
    <cellStyle name="Normal 5 2 5 8 3 2" xfId="8875"/>
    <cellStyle name="Normal 5 2 5 8 4" xfId="8876"/>
    <cellStyle name="Normal 5 2 5 8 4 2" xfId="8877"/>
    <cellStyle name="Normal 5 2 5 8 5" xfId="8878"/>
    <cellStyle name="Normal 5 2 5 8 5 2" xfId="8879"/>
    <cellStyle name="Normal 5 2 5 8 6" xfId="8880"/>
    <cellStyle name="Normal 5 2 5 9" xfId="8881"/>
    <cellStyle name="Normal 5 2 5 9 2" xfId="8882"/>
    <cellStyle name="Normal 5 2 5 9 2 2" xfId="8883"/>
    <cellStyle name="Normal 5 2 5 9 3" xfId="8884"/>
    <cellStyle name="Normal 5 2 5 9 3 2" xfId="8885"/>
    <cellStyle name="Normal 5 2 5 9 4" xfId="8886"/>
    <cellStyle name="Normal 5 2 5_10070" xfId="8887"/>
    <cellStyle name="Normal 5 2 6" xfId="8888"/>
    <cellStyle name="Normal 5 2 6 2" xfId="8889"/>
    <cellStyle name="Normal 5 2 6 2 2" xfId="8890"/>
    <cellStyle name="Normal 5 2 6 2 2 2" xfId="8891"/>
    <cellStyle name="Normal 5 2 6 2 3" xfId="8892"/>
    <cellStyle name="Normal 5 2 6 2 3 2" xfId="8893"/>
    <cellStyle name="Normal 5 2 6 2 4" xfId="8894"/>
    <cellStyle name="Normal 5 2 6 3" xfId="8895"/>
    <cellStyle name="Normal 5 2 6 3 2" xfId="8896"/>
    <cellStyle name="Normal 5 2 6 3 2 2" xfId="8897"/>
    <cellStyle name="Normal 5 2 6 3 3" xfId="8898"/>
    <cellStyle name="Normal 5 2 6 3 3 2" xfId="8899"/>
    <cellStyle name="Normal 5 2 6 3 4" xfId="8900"/>
    <cellStyle name="Normal 5 2 6 4" xfId="8901"/>
    <cellStyle name="Normal 5 2 6 4 2" xfId="8902"/>
    <cellStyle name="Normal 5 2 6 5" xfId="8903"/>
    <cellStyle name="Normal 5 2 6 5 2" xfId="8904"/>
    <cellStyle name="Normal 5 2 6 6" xfId="8905"/>
    <cellStyle name="Normal 5 2 7" xfId="8906"/>
    <cellStyle name="Normal 5 2 7 2" xfId="8907"/>
    <cellStyle name="Normal 5 2 7 2 2" xfId="8908"/>
    <cellStyle name="Normal 5 2 7 3" xfId="8909"/>
    <cellStyle name="Normal 5 2 7 3 2" xfId="8910"/>
    <cellStyle name="Normal 5 2 7 4" xfId="8911"/>
    <cellStyle name="Normal 5 2 7 4 2" xfId="8912"/>
    <cellStyle name="Normal 5 2 7 5" xfId="8913"/>
    <cellStyle name="Normal 5 2 7 5 2" xfId="8914"/>
    <cellStyle name="Normal 5 2 7 6" xfId="8915"/>
    <cellStyle name="Normal 5 2 8" xfId="8916"/>
    <cellStyle name="Normal 5 2 8 2" xfId="8917"/>
    <cellStyle name="Normal 5 2 9" xfId="8918"/>
    <cellStyle name="Normal 5 2 9 2" xfId="8919"/>
    <cellStyle name="Normal 5 3" xfId="8920"/>
    <cellStyle name="Normal 5 3 2" xfId="8921"/>
    <cellStyle name="Normal 5 3 2 2" xfId="8922"/>
    <cellStyle name="Normal 5 3 2 2 2" xfId="8923"/>
    <cellStyle name="Normal 5 3 2 2 2 2" xfId="8924"/>
    <cellStyle name="Normal 5 3 2 2 2 2 2" xfId="8925"/>
    <cellStyle name="Normal 5 3 2 2 2 2 2 2" xfId="8926"/>
    <cellStyle name="Normal 5 3 2 2 2 2 3" xfId="8927"/>
    <cellStyle name="Normal 5 3 2 2 2 3" xfId="8928"/>
    <cellStyle name="Normal 5 3 2 2 2 3 2" xfId="8929"/>
    <cellStyle name="Normal 5 3 2 2 2 3 2 2" xfId="8930"/>
    <cellStyle name="Normal 5 3 2 2 2 3 3" xfId="8931"/>
    <cellStyle name="Normal 5 3 2 2 2 4" xfId="8932"/>
    <cellStyle name="Normal 5 3 2 2 2 4 2" xfId="8933"/>
    <cellStyle name="Normal 5 3 2 2 2 5" xfId="8934"/>
    <cellStyle name="Normal 5 3 2 2 3" xfId="8935"/>
    <cellStyle name="Normal 5 3 2 2 3 2" xfId="8936"/>
    <cellStyle name="Normal 5 3 2 2 3 2 2" xfId="8937"/>
    <cellStyle name="Normal 5 3 2 2 3 3" xfId="8938"/>
    <cellStyle name="Normal 5 3 2 2 4" xfId="8939"/>
    <cellStyle name="Normal 5 3 2 2 4 2" xfId="8940"/>
    <cellStyle name="Normal 5 3 2 2 4 2 2" xfId="8941"/>
    <cellStyle name="Normal 5 3 2 2 4 3" xfId="8942"/>
    <cellStyle name="Normal 5 3 2 2 5" xfId="8943"/>
    <cellStyle name="Normal 5 3 2 2 5 2" xfId="8944"/>
    <cellStyle name="Normal 5 3 2 2 6" xfId="8945"/>
    <cellStyle name="Normal 5 3 2 3" xfId="8946"/>
    <cellStyle name="Normal 5 3 2 3 2" xfId="8947"/>
    <cellStyle name="Normal 5 3 2 3 2 2" xfId="8948"/>
    <cellStyle name="Normal 5 3 2 3 2 2 2" xfId="8949"/>
    <cellStyle name="Normal 5 3 2 3 2 3" xfId="8950"/>
    <cellStyle name="Normal 5 3 2 3 3" xfId="8951"/>
    <cellStyle name="Normal 5 3 2 3 3 2" xfId="8952"/>
    <cellStyle name="Normal 5 3 2 3 3 2 2" xfId="8953"/>
    <cellStyle name="Normal 5 3 2 3 3 3" xfId="8954"/>
    <cellStyle name="Normal 5 3 2 3 4" xfId="8955"/>
    <cellStyle name="Normal 5 3 2 3 4 2" xfId="8956"/>
    <cellStyle name="Normal 5 3 2 3 5" xfId="8957"/>
    <cellStyle name="Normal 5 3 2 4" xfId="8958"/>
    <cellStyle name="Normal 5 3 2 4 2" xfId="8959"/>
    <cellStyle name="Normal 5 3 2 4 2 2" xfId="8960"/>
    <cellStyle name="Normal 5 3 2 4 3" xfId="8961"/>
    <cellStyle name="Normal 5 3 2 5" xfId="8962"/>
    <cellStyle name="Normal 5 3 2 5 2" xfId="8963"/>
    <cellStyle name="Normal 5 3 2 5 2 2" xfId="8964"/>
    <cellStyle name="Normal 5 3 2 5 3" xfId="8965"/>
    <cellStyle name="Normal 5 3 2 6" xfId="8966"/>
    <cellStyle name="Normal 5 3 2 6 2" xfId="8967"/>
    <cellStyle name="Normal 5 3 2 7" xfId="8968"/>
    <cellStyle name="Normal 5 3 3" xfId="8969"/>
    <cellStyle name="Normal 5 3 3 2" xfId="8970"/>
    <cellStyle name="Normal 5 3 3 2 2" xfId="8971"/>
    <cellStyle name="Normal 5 3 3 2 2 2" xfId="8972"/>
    <cellStyle name="Normal 5 3 3 2 2 2 2" xfId="8973"/>
    <cellStyle name="Normal 5 3 3 2 2 3" xfId="8974"/>
    <cellStyle name="Normal 5 3 3 2 3" xfId="8975"/>
    <cellStyle name="Normal 5 3 3 2 3 2" xfId="8976"/>
    <cellStyle name="Normal 5 3 3 2 3 2 2" xfId="8977"/>
    <cellStyle name="Normal 5 3 3 2 3 3" xfId="8978"/>
    <cellStyle name="Normal 5 3 3 2 4" xfId="8979"/>
    <cellStyle name="Normal 5 3 3 2 4 2" xfId="8980"/>
    <cellStyle name="Normal 5 3 3 2 5" xfId="8981"/>
    <cellStyle name="Normal 5 3 3 3" xfId="8982"/>
    <cellStyle name="Normal 5 3 3 3 2" xfId="8983"/>
    <cellStyle name="Normal 5 3 3 3 2 2" xfId="8984"/>
    <cellStyle name="Normal 5 3 3 3 3" xfId="8985"/>
    <cellStyle name="Normal 5 3 3 4" xfId="8986"/>
    <cellStyle name="Normal 5 3 3 4 2" xfId="8987"/>
    <cellStyle name="Normal 5 3 3 4 2 2" xfId="8988"/>
    <cellStyle name="Normal 5 3 3 4 3" xfId="8989"/>
    <cellStyle name="Normal 5 3 3 5" xfId="8990"/>
    <cellStyle name="Normal 5 3 3 5 2" xfId="8991"/>
    <cellStyle name="Normal 5 3 3 6" xfId="8992"/>
    <cellStyle name="Normal 5 3 4" xfId="8993"/>
    <cellStyle name="Normal 5 3 4 2" xfId="8994"/>
    <cellStyle name="Normal 5 3 4 2 2" xfId="8995"/>
    <cellStyle name="Normal 5 3 4 2 2 2" xfId="8996"/>
    <cellStyle name="Normal 5 3 4 2 3" xfId="8997"/>
    <cellStyle name="Normal 5 3 4 3" xfId="8998"/>
    <cellStyle name="Normal 5 3 4 3 2" xfId="8999"/>
    <cellStyle name="Normal 5 3 4 3 2 2" xfId="9000"/>
    <cellStyle name="Normal 5 3 4 3 3" xfId="9001"/>
    <cellStyle name="Normal 5 3 4 4" xfId="9002"/>
    <cellStyle name="Normal 5 3 4 4 2" xfId="9003"/>
    <cellStyle name="Normal 5 3 4 5" xfId="9004"/>
    <cellStyle name="Normal 5 3 5" xfId="9005"/>
    <cellStyle name="Normal 5 3 5 2" xfId="9006"/>
    <cellStyle name="Normal 5 3 5 2 2" xfId="9007"/>
    <cellStyle name="Normal 5 3 5 3" xfId="9008"/>
    <cellStyle name="Normal 5 3 6" xfId="9009"/>
    <cellStyle name="Normal 5 3 6 2" xfId="9010"/>
    <cellStyle name="Normal 5 3 6 2 2" xfId="9011"/>
    <cellStyle name="Normal 5 3 6 3" xfId="9012"/>
    <cellStyle name="Normal 5 3 7" xfId="9013"/>
    <cellStyle name="Normal 5 3 7 2" xfId="9014"/>
    <cellStyle name="Normal 5 3 8" xfId="9015"/>
    <cellStyle name="Normal 5 3 9" xfId="9016"/>
    <cellStyle name="Normal 5 4" xfId="9017"/>
    <cellStyle name="Normal 5 4 2" xfId="9018"/>
    <cellStyle name="Normal 5 4 2 2" xfId="9019"/>
    <cellStyle name="Normal 5 4 2 2 2" xfId="9020"/>
    <cellStyle name="Normal 5 4 2 2 2 2" xfId="9021"/>
    <cellStyle name="Normal 5 4 2 2 2 2 2" xfId="9022"/>
    <cellStyle name="Normal 5 4 2 2 2 2 2 2" xfId="9023"/>
    <cellStyle name="Normal 5 4 2 2 2 2 3" xfId="9024"/>
    <cellStyle name="Normal 5 4 2 2 2 3" xfId="9025"/>
    <cellStyle name="Normal 5 4 2 2 2 3 2" xfId="9026"/>
    <cellStyle name="Normal 5 4 2 2 2 3 2 2" xfId="9027"/>
    <cellStyle name="Normal 5 4 2 2 2 3 3" xfId="9028"/>
    <cellStyle name="Normal 5 4 2 2 2 4" xfId="9029"/>
    <cellStyle name="Normal 5 4 2 2 2 4 2" xfId="9030"/>
    <cellStyle name="Normal 5 4 2 2 2 5" xfId="9031"/>
    <cellStyle name="Normal 5 4 2 2 3" xfId="9032"/>
    <cellStyle name="Normal 5 4 2 2 3 2" xfId="9033"/>
    <cellStyle name="Normal 5 4 2 2 3 2 2" xfId="9034"/>
    <cellStyle name="Normal 5 4 2 2 3 3" xfId="9035"/>
    <cellStyle name="Normal 5 4 2 2 4" xfId="9036"/>
    <cellStyle name="Normal 5 4 2 2 4 2" xfId="9037"/>
    <cellStyle name="Normal 5 4 2 2 4 2 2" xfId="9038"/>
    <cellStyle name="Normal 5 4 2 2 4 3" xfId="9039"/>
    <cellStyle name="Normal 5 4 2 2 5" xfId="9040"/>
    <cellStyle name="Normal 5 4 2 2 5 2" xfId="9041"/>
    <cellStyle name="Normal 5 4 2 2 6" xfId="9042"/>
    <cellStyle name="Normal 5 4 2 3" xfId="9043"/>
    <cellStyle name="Normal 5 4 2 3 2" xfId="9044"/>
    <cellStyle name="Normal 5 4 2 3 2 2" xfId="9045"/>
    <cellStyle name="Normal 5 4 2 3 2 2 2" xfId="9046"/>
    <cellStyle name="Normal 5 4 2 3 2 3" xfId="9047"/>
    <cellStyle name="Normal 5 4 2 3 3" xfId="9048"/>
    <cellStyle name="Normal 5 4 2 3 3 2" xfId="9049"/>
    <cellStyle name="Normal 5 4 2 3 3 2 2" xfId="9050"/>
    <cellStyle name="Normal 5 4 2 3 3 3" xfId="9051"/>
    <cellStyle name="Normal 5 4 2 3 4" xfId="9052"/>
    <cellStyle name="Normal 5 4 2 3 4 2" xfId="9053"/>
    <cellStyle name="Normal 5 4 2 3 5" xfId="9054"/>
    <cellStyle name="Normal 5 4 2 4" xfId="9055"/>
    <cellStyle name="Normal 5 4 2 4 2" xfId="9056"/>
    <cellStyle name="Normal 5 4 2 4 2 2" xfId="9057"/>
    <cellStyle name="Normal 5 4 2 4 3" xfId="9058"/>
    <cellStyle name="Normal 5 4 2 5" xfId="9059"/>
    <cellStyle name="Normal 5 4 2 5 2" xfId="9060"/>
    <cellStyle name="Normal 5 4 2 5 2 2" xfId="9061"/>
    <cellStyle name="Normal 5 4 2 5 3" xfId="9062"/>
    <cellStyle name="Normal 5 4 2 6" xfId="9063"/>
    <cellStyle name="Normal 5 4 2 6 2" xfId="9064"/>
    <cellStyle name="Normal 5 4 2 7" xfId="9065"/>
    <cellStyle name="Normal 5 4 3" xfId="9066"/>
    <cellStyle name="Normal 5 4 3 2" xfId="9067"/>
    <cellStyle name="Normal 5 4 3 2 2" xfId="9068"/>
    <cellStyle name="Normal 5 4 3 2 2 2" xfId="9069"/>
    <cellStyle name="Normal 5 4 3 2 2 2 2" xfId="9070"/>
    <cellStyle name="Normal 5 4 3 2 2 3" xfId="9071"/>
    <cellStyle name="Normal 5 4 3 2 3" xfId="9072"/>
    <cellStyle name="Normal 5 4 3 2 3 2" xfId="9073"/>
    <cellStyle name="Normal 5 4 3 2 3 2 2" xfId="9074"/>
    <cellStyle name="Normal 5 4 3 2 3 3" xfId="9075"/>
    <cellStyle name="Normal 5 4 3 2 4" xfId="9076"/>
    <cellStyle name="Normal 5 4 3 2 4 2" xfId="9077"/>
    <cellStyle name="Normal 5 4 3 2 5" xfId="9078"/>
    <cellStyle name="Normal 5 4 3 3" xfId="9079"/>
    <cellStyle name="Normal 5 4 3 3 2" xfId="9080"/>
    <cellStyle name="Normal 5 4 3 3 2 2" xfId="9081"/>
    <cellStyle name="Normal 5 4 3 3 3" xfId="9082"/>
    <cellStyle name="Normal 5 4 3 4" xfId="9083"/>
    <cellStyle name="Normal 5 4 3 4 2" xfId="9084"/>
    <cellStyle name="Normal 5 4 3 4 2 2" xfId="9085"/>
    <cellStyle name="Normal 5 4 3 4 3" xfId="9086"/>
    <cellStyle name="Normal 5 4 3 5" xfId="9087"/>
    <cellStyle name="Normal 5 4 3 5 2" xfId="9088"/>
    <cellStyle name="Normal 5 4 3 6" xfId="9089"/>
    <cellStyle name="Normal 5 4 4" xfId="9090"/>
    <cellStyle name="Normal 5 4 4 2" xfId="9091"/>
    <cellStyle name="Normal 5 4 4 2 2" xfId="9092"/>
    <cellStyle name="Normal 5 4 4 2 2 2" xfId="9093"/>
    <cellStyle name="Normal 5 4 4 2 3" xfId="9094"/>
    <cellStyle name="Normal 5 4 4 3" xfId="9095"/>
    <cellStyle name="Normal 5 4 4 3 2" xfId="9096"/>
    <cellStyle name="Normal 5 4 4 3 2 2" xfId="9097"/>
    <cellStyle name="Normal 5 4 4 3 3" xfId="9098"/>
    <cellStyle name="Normal 5 4 4 4" xfId="9099"/>
    <cellStyle name="Normal 5 4 4 4 2" xfId="9100"/>
    <cellStyle name="Normal 5 4 4 5" xfId="9101"/>
    <cellStyle name="Normal 5 4 5" xfId="9102"/>
    <cellStyle name="Normal 5 4 5 2" xfId="9103"/>
    <cellStyle name="Normal 5 4 5 2 2" xfId="9104"/>
    <cellStyle name="Normal 5 4 5 3" xfId="9105"/>
    <cellStyle name="Normal 5 4 6" xfId="9106"/>
    <cellStyle name="Normal 5 4 6 2" xfId="9107"/>
    <cellStyle name="Normal 5 4 6 2 2" xfId="9108"/>
    <cellStyle name="Normal 5 4 6 3" xfId="9109"/>
    <cellStyle name="Normal 5 4 7" xfId="9110"/>
    <cellStyle name="Normal 5 4 7 2" xfId="9111"/>
    <cellStyle name="Normal 5 4 8" xfId="9112"/>
    <cellStyle name="Normal 5 4 9" xfId="9113"/>
    <cellStyle name="Normal 5 5" xfId="9114"/>
    <cellStyle name="Normal 5 5 2" xfId="9115"/>
    <cellStyle name="Normal 5 5 2 2" xfId="9116"/>
    <cellStyle name="Normal 5 5 2 2 2" xfId="9117"/>
    <cellStyle name="Normal 5 5 2 2 2 2" xfId="9118"/>
    <cellStyle name="Normal 5 5 2 2 2 2 2" xfId="9119"/>
    <cellStyle name="Normal 5 5 2 2 2 3" xfId="9120"/>
    <cellStyle name="Normal 5 5 2 2 3" xfId="9121"/>
    <cellStyle name="Normal 5 5 2 2 3 2" xfId="9122"/>
    <cellStyle name="Normal 5 5 2 2 3 2 2" xfId="9123"/>
    <cellStyle name="Normal 5 5 2 2 3 3" xfId="9124"/>
    <cellStyle name="Normal 5 5 2 2 4" xfId="9125"/>
    <cellStyle name="Normal 5 5 2 2 4 2" xfId="9126"/>
    <cellStyle name="Normal 5 5 2 2 5" xfId="9127"/>
    <cellStyle name="Normal 5 5 2 3" xfId="9128"/>
    <cellStyle name="Normal 5 5 2 3 2" xfId="9129"/>
    <cellStyle name="Normal 5 5 2 3 2 2" xfId="9130"/>
    <cellStyle name="Normal 5 5 2 3 3" xfId="9131"/>
    <cellStyle name="Normal 5 5 2 4" xfId="9132"/>
    <cellStyle name="Normal 5 5 2 4 2" xfId="9133"/>
    <cellStyle name="Normal 5 5 2 4 2 2" xfId="9134"/>
    <cellStyle name="Normal 5 5 2 4 3" xfId="9135"/>
    <cellStyle name="Normal 5 5 2 5" xfId="9136"/>
    <cellStyle name="Normal 5 5 2 5 2" xfId="9137"/>
    <cellStyle name="Normal 5 5 2 6" xfId="9138"/>
    <cellStyle name="Normal 5 5 3" xfId="9139"/>
    <cellStyle name="Normal 5 5 3 2" xfId="9140"/>
    <cellStyle name="Normal 5 5 3 2 2" xfId="9141"/>
    <cellStyle name="Normal 5 5 3 2 2 2" xfId="9142"/>
    <cellStyle name="Normal 5 5 3 2 3" xfId="9143"/>
    <cellStyle name="Normal 5 5 3 3" xfId="9144"/>
    <cellStyle name="Normal 5 5 3 3 2" xfId="9145"/>
    <cellStyle name="Normal 5 5 3 3 2 2" xfId="9146"/>
    <cellStyle name="Normal 5 5 3 3 3" xfId="9147"/>
    <cellStyle name="Normal 5 5 3 4" xfId="9148"/>
    <cellStyle name="Normal 5 5 3 4 2" xfId="9149"/>
    <cellStyle name="Normal 5 5 3 5" xfId="9150"/>
    <cellStyle name="Normal 5 5 4" xfId="9151"/>
    <cellStyle name="Normal 5 5 4 2" xfId="9152"/>
    <cellStyle name="Normal 5 5 4 2 2" xfId="9153"/>
    <cellStyle name="Normal 5 5 4 3" xfId="9154"/>
    <cellStyle name="Normal 5 5 5" xfId="9155"/>
    <cellStyle name="Normal 5 5 5 2" xfId="9156"/>
    <cellStyle name="Normal 5 5 5 2 2" xfId="9157"/>
    <cellStyle name="Normal 5 5 5 3" xfId="9158"/>
    <cellStyle name="Normal 5 5 6" xfId="9159"/>
    <cellStyle name="Normal 5 5 6 2" xfId="9160"/>
    <cellStyle name="Normal 5 5 7" xfId="9161"/>
    <cellStyle name="Normal 5 6" xfId="9162"/>
    <cellStyle name="Normal 5 6 2" xfId="9163"/>
    <cellStyle name="Normal 5 6 2 2" xfId="9164"/>
    <cellStyle name="Normal 5 6 2 2 2" xfId="9165"/>
    <cellStyle name="Normal 5 6 2 2 2 2" xfId="9166"/>
    <cellStyle name="Normal 5 6 2 2 3" xfId="9167"/>
    <cellStyle name="Normal 5 6 2 3" xfId="9168"/>
    <cellStyle name="Normal 5 6 2 3 2" xfId="9169"/>
    <cellStyle name="Normal 5 6 2 3 2 2" xfId="9170"/>
    <cellStyle name="Normal 5 6 2 3 3" xfId="9171"/>
    <cellStyle name="Normal 5 6 2 4" xfId="9172"/>
    <cellStyle name="Normal 5 6 2 4 2" xfId="9173"/>
    <cellStyle name="Normal 5 6 2 5" xfId="9174"/>
    <cellStyle name="Normal 5 6 3" xfId="9175"/>
    <cellStyle name="Normal 5 6 3 2" xfId="9176"/>
    <cellStyle name="Normal 5 6 3 2 2" xfId="9177"/>
    <cellStyle name="Normal 5 6 3 3" xfId="9178"/>
    <cellStyle name="Normal 5 6 4" xfId="9179"/>
    <cellStyle name="Normal 5 6 4 2" xfId="9180"/>
    <cellStyle name="Normal 5 6 4 2 2" xfId="9181"/>
    <cellStyle name="Normal 5 6 4 3" xfId="9182"/>
    <cellStyle name="Normal 5 6 5" xfId="9183"/>
    <cellStyle name="Normal 5 6 5 2" xfId="9184"/>
    <cellStyle name="Normal 5 6 6" xfId="9185"/>
    <cellStyle name="Normal 5 7" xfId="9186"/>
    <cellStyle name="Normal 5 7 2" xfId="9187"/>
    <cellStyle name="Normal 5 7 2 2" xfId="9188"/>
    <cellStyle name="Normal 5 7 2 2 2" xfId="9189"/>
    <cellStyle name="Normal 5 7 2 3" xfId="9190"/>
    <cellStyle name="Normal 5 7 3" xfId="9191"/>
    <cellStyle name="Normal 5 7 3 2" xfId="9192"/>
    <cellStyle name="Normal 5 7 3 2 2" xfId="9193"/>
    <cellStyle name="Normal 5 7 3 3" xfId="9194"/>
    <cellStyle name="Normal 5 7 4" xfId="9195"/>
    <cellStyle name="Normal 5 7 4 2" xfId="9196"/>
    <cellStyle name="Normal 5 7 5" xfId="9197"/>
    <cellStyle name="Normal 5 8" xfId="9198"/>
    <cellStyle name="Normal 5 8 2" xfId="9199"/>
    <cellStyle name="Normal 5 8 2 2" xfId="9200"/>
    <cellStyle name="Normal 5 8 3" xfId="9201"/>
    <cellStyle name="Normal 5 9" xfId="9202"/>
    <cellStyle name="Normal 5 9 2" xfId="9203"/>
    <cellStyle name="Normal 5 9 2 2" xfId="9204"/>
    <cellStyle name="Normal 5 9 3" xfId="9205"/>
    <cellStyle name="Normal 5_10051" xfId="9206"/>
    <cellStyle name="Normal 50" xfId="9207"/>
    <cellStyle name="Normal 50 2" xfId="9208"/>
    <cellStyle name="Normal 50 2 2" xfId="9209"/>
    <cellStyle name="Normal 50 2 2 2" xfId="9210"/>
    <cellStyle name="Normal 50 2 2 2 2" xfId="9211"/>
    <cellStyle name="Normal 50 2 2 2 2 2" xfId="9212"/>
    <cellStyle name="Normal 50 2 2 2 2 2 2" xfId="9213"/>
    <cellStyle name="Normal 50 2 2 2 2 3" xfId="9214"/>
    <cellStyle name="Normal 50 2 2 2 3" xfId="9215"/>
    <cellStyle name="Normal 50 2 2 2 3 2" xfId="9216"/>
    <cellStyle name="Normal 50 2 2 2 3 2 2" xfId="9217"/>
    <cellStyle name="Normal 50 2 2 2 3 3" xfId="9218"/>
    <cellStyle name="Normal 50 2 2 2 4" xfId="9219"/>
    <cellStyle name="Normal 50 2 2 2 4 2" xfId="9220"/>
    <cellStyle name="Normal 50 2 2 2 5" xfId="9221"/>
    <cellStyle name="Normal 50 2 2 3" xfId="9222"/>
    <cellStyle name="Normal 50 2 2 3 2" xfId="9223"/>
    <cellStyle name="Normal 50 2 2 3 2 2" xfId="9224"/>
    <cellStyle name="Normal 50 2 2 3 3" xfId="9225"/>
    <cellStyle name="Normal 50 2 2 4" xfId="9226"/>
    <cellStyle name="Normal 50 2 2 4 2" xfId="9227"/>
    <cellStyle name="Normal 50 2 2 4 2 2" xfId="9228"/>
    <cellStyle name="Normal 50 2 2 4 3" xfId="9229"/>
    <cellStyle name="Normal 50 2 2 5" xfId="9230"/>
    <cellStyle name="Normal 50 2 2 5 2" xfId="9231"/>
    <cellStyle name="Normal 50 2 2 6" xfId="9232"/>
    <cellStyle name="Normal 50 2 3" xfId="9233"/>
    <cellStyle name="Normal 50 2 3 2" xfId="9234"/>
    <cellStyle name="Normal 50 2 3 2 2" xfId="9235"/>
    <cellStyle name="Normal 50 2 3 2 2 2" xfId="9236"/>
    <cellStyle name="Normal 50 2 3 2 3" xfId="9237"/>
    <cellStyle name="Normal 50 2 3 3" xfId="9238"/>
    <cellStyle name="Normal 50 2 3 3 2" xfId="9239"/>
    <cellStyle name="Normal 50 2 3 3 2 2" xfId="9240"/>
    <cellStyle name="Normal 50 2 3 3 3" xfId="9241"/>
    <cellStyle name="Normal 50 2 3 4" xfId="9242"/>
    <cellStyle name="Normal 50 2 3 4 2" xfId="9243"/>
    <cellStyle name="Normal 50 2 3 5" xfId="9244"/>
    <cellStyle name="Normal 50 2 4" xfId="9245"/>
    <cellStyle name="Normal 50 2 4 2" xfId="9246"/>
    <cellStyle name="Normal 50 2 4 2 2" xfId="9247"/>
    <cellStyle name="Normal 50 2 4 3" xfId="9248"/>
    <cellStyle name="Normal 50 2 5" xfId="9249"/>
    <cellStyle name="Normal 50 2 5 2" xfId="9250"/>
    <cellStyle name="Normal 50 2 5 2 2" xfId="9251"/>
    <cellStyle name="Normal 50 2 5 3" xfId="9252"/>
    <cellStyle name="Normal 50 2 6" xfId="9253"/>
    <cellStyle name="Normal 50 2 6 2" xfId="9254"/>
    <cellStyle name="Normal 50 2 7" xfId="9255"/>
    <cellStyle name="Normal 50 3" xfId="9256"/>
    <cellStyle name="Normal 50 3 2" xfId="9257"/>
    <cellStyle name="Normal 50 3 2 2" xfId="9258"/>
    <cellStyle name="Normal 50 3 2 2 2" xfId="9259"/>
    <cellStyle name="Normal 50 3 2 2 2 2" xfId="9260"/>
    <cellStyle name="Normal 50 3 2 2 3" xfId="9261"/>
    <cellStyle name="Normal 50 3 2 3" xfId="9262"/>
    <cellStyle name="Normal 50 3 2 3 2" xfId="9263"/>
    <cellStyle name="Normal 50 3 2 3 2 2" xfId="9264"/>
    <cellStyle name="Normal 50 3 2 3 3" xfId="9265"/>
    <cellStyle name="Normal 50 3 2 4" xfId="9266"/>
    <cellStyle name="Normal 50 3 2 4 2" xfId="9267"/>
    <cellStyle name="Normal 50 3 2 5" xfId="9268"/>
    <cellStyle name="Normal 50 3 3" xfId="9269"/>
    <cellStyle name="Normal 50 3 3 2" xfId="9270"/>
    <cellStyle name="Normal 50 3 3 2 2" xfId="9271"/>
    <cellStyle name="Normal 50 3 3 3" xfId="9272"/>
    <cellStyle name="Normal 50 3 4" xfId="9273"/>
    <cellStyle name="Normal 50 3 4 2" xfId="9274"/>
    <cellStyle name="Normal 50 3 4 2 2" xfId="9275"/>
    <cellStyle name="Normal 50 3 4 3" xfId="9276"/>
    <cellStyle name="Normal 50 3 5" xfId="9277"/>
    <cellStyle name="Normal 50 3 5 2" xfId="9278"/>
    <cellStyle name="Normal 50 3 6" xfId="9279"/>
    <cellStyle name="Normal 50 4" xfId="9280"/>
    <cellStyle name="Normal 50 4 2" xfId="9281"/>
    <cellStyle name="Normal 50 4 2 2" xfId="9282"/>
    <cellStyle name="Normal 50 4 2 2 2" xfId="9283"/>
    <cellStyle name="Normal 50 4 2 3" xfId="9284"/>
    <cellStyle name="Normal 50 4 3" xfId="9285"/>
    <cellStyle name="Normal 50 4 3 2" xfId="9286"/>
    <cellStyle name="Normal 50 4 3 2 2" xfId="9287"/>
    <cellStyle name="Normal 50 4 3 3" xfId="9288"/>
    <cellStyle name="Normal 50 4 4" xfId="9289"/>
    <cellStyle name="Normal 50 4 4 2" xfId="9290"/>
    <cellStyle name="Normal 50 4 5" xfId="9291"/>
    <cellStyle name="Normal 50 5" xfId="9292"/>
    <cellStyle name="Normal 50 5 2" xfId="9293"/>
    <cellStyle name="Normal 50 5 2 2" xfId="9294"/>
    <cellStyle name="Normal 50 5 3" xfId="9295"/>
    <cellStyle name="Normal 50 6" xfId="9296"/>
    <cellStyle name="Normal 50 6 2" xfId="9297"/>
    <cellStyle name="Normal 50 6 2 2" xfId="9298"/>
    <cellStyle name="Normal 50 6 3" xfId="9299"/>
    <cellStyle name="Normal 50 7" xfId="9300"/>
    <cellStyle name="Normal 50 7 2" xfId="9301"/>
    <cellStyle name="Normal 50 8" xfId="9302"/>
    <cellStyle name="Normal 50 9" xfId="9303"/>
    <cellStyle name="Normal 51" xfId="9304"/>
    <cellStyle name="Normal 51 2" xfId="9305"/>
    <cellStyle name="Normal 51 2 2" xfId="9306"/>
    <cellStyle name="Normal 51 2 2 2" xfId="9307"/>
    <cellStyle name="Normal 51 2 2 2 2" xfId="9308"/>
    <cellStyle name="Normal 51 2 2 2 2 2" xfId="9309"/>
    <cellStyle name="Normal 51 2 2 2 2 2 2" xfId="9310"/>
    <cellStyle name="Normal 51 2 2 2 2 3" xfId="9311"/>
    <cellStyle name="Normal 51 2 2 2 3" xfId="9312"/>
    <cellStyle name="Normal 51 2 2 2 3 2" xfId="9313"/>
    <cellStyle name="Normal 51 2 2 2 3 2 2" xfId="9314"/>
    <cellStyle name="Normal 51 2 2 2 3 3" xfId="9315"/>
    <cellStyle name="Normal 51 2 2 2 4" xfId="9316"/>
    <cellStyle name="Normal 51 2 2 2 4 2" xfId="9317"/>
    <cellStyle name="Normal 51 2 2 2 5" xfId="9318"/>
    <cellStyle name="Normal 51 2 2 3" xfId="9319"/>
    <cellStyle name="Normal 51 2 2 3 2" xfId="9320"/>
    <cellStyle name="Normal 51 2 2 3 2 2" xfId="9321"/>
    <cellStyle name="Normal 51 2 2 3 3" xfId="9322"/>
    <cellStyle name="Normal 51 2 2 4" xfId="9323"/>
    <cellStyle name="Normal 51 2 2 4 2" xfId="9324"/>
    <cellStyle name="Normal 51 2 2 4 2 2" xfId="9325"/>
    <cellStyle name="Normal 51 2 2 4 3" xfId="9326"/>
    <cellStyle name="Normal 51 2 2 5" xfId="9327"/>
    <cellStyle name="Normal 51 2 2 5 2" xfId="9328"/>
    <cellStyle name="Normal 51 2 2 6" xfId="9329"/>
    <cellStyle name="Normal 51 2 3" xfId="9330"/>
    <cellStyle name="Normal 51 2 3 2" xfId="9331"/>
    <cellStyle name="Normal 51 2 3 2 2" xfId="9332"/>
    <cellStyle name="Normal 51 2 3 2 2 2" xfId="9333"/>
    <cellStyle name="Normal 51 2 3 2 3" xfId="9334"/>
    <cellStyle name="Normal 51 2 3 3" xfId="9335"/>
    <cellStyle name="Normal 51 2 3 3 2" xfId="9336"/>
    <cellStyle name="Normal 51 2 3 3 2 2" xfId="9337"/>
    <cellStyle name="Normal 51 2 3 3 3" xfId="9338"/>
    <cellStyle name="Normal 51 2 3 4" xfId="9339"/>
    <cellStyle name="Normal 51 2 3 4 2" xfId="9340"/>
    <cellStyle name="Normal 51 2 3 5" xfId="9341"/>
    <cellStyle name="Normal 51 2 4" xfId="9342"/>
    <cellStyle name="Normal 51 2 4 2" xfId="9343"/>
    <cellStyle name="Normal 51 2 4 2 2" xfId="9344"/>
    <cellStyle name="Normal 51 2 4 3" xfId="9345"/>
    <cellStyle name="Normal 51 2 5" xfId="9346"/>
    <cellStyle name="Normal 51 2 5 2" xfId="9347"/>
    <cellStyle name="Normal 51 2 5 2 2" xfId="9348"/>
    <cellStyle name="Normal 51 2 5 3" xfId="9349"/>
    <cellStyle name="Normal 51 2 6" xfId="9350"/>
    <cellStyle name="Normal 51 2 6 2" xfId="9351"/>
    <cellStyle name="Normal 51 2 7" xfId="9352"/>
    <cellStyle name="Normal 51 3" xfId="9353"/>
    <cellStyle name="Normal 51 3 2" xfId="9354"/>
    <cellStyle name="Normal 51 3 2 2" xfId="9355"/>
    <cellStyle name="Normal 51 3 2 2 2" xfId="9356"/>
    <cellStyle name="Normal 51 3 2 2 2 2" xfId="9357"/>
    <cellStyle name="Normal 51 3 2 2 3" xfId="9358"/>
    <cellStyle name="Normal 51 3 2 3" xfId="9359"/>
    <cellStyle name="Normal 51 3 2 3 2" xfId="9360"/>
    <cellStyle name="Normal 51 3 2 3 2 2" xfId="9361"/>
    <cellStyle name="Normal 51 3 2 3 3" xfId="9362"/>
    <cellStyle name="Normal 51 3 2 4" xfId="9363"/>
    <cellStyle name="Normal 51 3 2 4 2" xfId="9364"/>
    <cellStyle name="Normal 51 3 2 5" xfId="9365"/>
    <cellStyle name="Normal 51 3 3" xfId="9366"/>
    <cellStyle name="Normal 51 3 3 2" xfId="9367"/>
    <cellStyle name="Normal 51 3 3 2 2" xfId="9368"/>
    <cellStyle name="Normal 51 3 3 3" xfId="9369"/>
    <cellStyle name="Normal 51 3 4" xfId="9370"/>
    <cellStyle name="Normal 51 3 4 2" xfId="9371"/>
    <cellStyle name="Normal 51 3 4 2 2" xfId="9372"/>
    <cellStyle name="Normal 51 3 4 3" xfId="9373"/>
    <cellStyle name="Normal 51 3 5" xfId="9374"/>
    <cellStyle name="Normal 51 3 5 2" xfId="9375"/>
    <cellStyle name="Normal 51 3 6" xfId="9376"/>
    <cellStyle name="Normal 51 4" xfId="9377"/>
    <cellStyle name="Normal 51 4 2" xfId="9378"/>
    <cellStyle name="Normal 51 4 2 2" xfId="9379"/>
    <cellStyle name="Normal 51 4 2 2 2" xfId="9380"/>
    <cellStyle name="Normal 51 4 2 3" xfId="9381"/>
    <cellStyle name="Normal 51 4 3" xfId="9382"/>
    <cellStyle name="Normal 51 4 3 2" xfId="9383"/>
    <cellStyle name="Normal 51 4 3 2 2" xfId="9384"/>
    <cellStyle name="Normal 51 4 3 3" xfId="9385"/>
    <cellStyle name="Normal 51 4 4" xfId="9386"/>
    <cellStyle name="Normal 51 4 4 2" xfId="9387"/>
    <cellStyle name="Normal 51 4 5" xfId="9388"/>
    <cellStyle name="Normal 51 5" xfId="9389"/>
    <cellStyle name="Normal 51 5 2" xfId="9390"/>
    <cellStyle name="Normal 51 5 2 2" xfId="9391"/>
    <cellStyle name="Normal 51 5 3" xfId="9392"/>
    <cellStyle name="Normal 51 6" xfId="9393"/>
    <cellStyle name="Normal 51 6 2" xfId="9394"/>
    <cellStyle name="Normal 51 6 2 2" xfId="9395"/>
    <cellStyle name="Normal 51 6 3" xfId="9396"/>
    <cellStyle name="Normal 51 7" xfId="9397"/>
    <cellStyle name="Normal 51 7 2" xfId="9398"/>
    <cellStyle name="Normal 51 8" xfId="9399"/>
    <cellStyle name="Normal 51 9" xfId="9400"/>
    <cellStyle name="Normal 52" xfId="9401"/>
    <cellStyle name="Normal 52 2" xfId="9402"/>
    <cellStyle name="Normal 52 2 2" xfId="9403"/>
    <cellStyle name="Normal 52 2 2 2" xfId="9404"/>
    <cellStyle name="Normal 52 2 2 2 2" xfId="9405"/>
    <cellStyle name="Normal 52 2 2 2 2 2" xfId="9406"/>
    <cellStyle name="Normal 52 2 2 2 2 2 2" xfId="9407"/>
    <cellStyle name="Normal 52 2 2 2 2 3" xfId="9408"/>
    <cellStyle name="Normal 52 2 2 2 3" xfId="9409"/>
    <cellStyle name="Normal 52 2 2 2 3 2" xfId="9410"/>
    <cellStyle name="Normal 52 2 2 2 3 2 2" xfId="9411"/>
    <cellStyle name="Normal 52 2 2 2 3 3" xfId="9412"/>
    <cellStyle name="Normal 52 2 2 2 4" xfId="9413"/>
    <cellStyle name="Normal 52 2 2 2 4 2" xfId="9414"/>
    <cellStyle name="Normal 52 2 2 2 5" xfId="9415"/>
    <cellStyle name="Normal 52 2 2 3" xfId="9416"/>
    <cellStyle name="Normal 52 2 2 3 2" xfId="9417"/>
    <cellStyle name="Normal 52 2 2 3 2 2" xfId="9418"/>
    <cellStyle name="Normal 52 2 2 3 3" xfId="9419"/>
    <cellStyle name="Normal 52 2 2 4" xfId="9420"/>
    <cellStyle name="Normal 52 2 2 4 2" xfId="9421"/>
    <cellStyle name="Normal 52 2 2 4 2 2" xfId="9422"/>
    <cellStyle name="Normal 52 2 2 4 3" xfId="9423"/>
    <cellStyle name="Normal 52 2 2 5" xfId="9424"/>
    <cellStyle name="Normal 52 2 2 5 2" xfId="9425"/>
    <cellStyle name="Normal 52 2 2 6" xfId="9426"/>
    <cellStyle name="Normal 52 2 3" xfId="9427"/>
    <cellStyle name="Normal 52 2 3 2" xfId="9428"/>
    <cellStyle name="Normal 52 2 3 2 2" xfId="9429"/>
    <cellStyle name="Normal 52 2 3 2 2 2" xfId="9430"/>
    <cellStyle name="Normal 52 2 3 2 3" xfId="9431"/>
    <cellStyle name="Normal 52 2 3 3" xfId="9432"/>
    <cellStyle name="Normal 52 2 3 3 2" xfId="9433"/>
    <cellStyle name="Normal 52 2 3 3 2 2" xfId="9434"/>
    <cellStyle name="Normal 52 2 3 3 3" xfId="9435"/>
    <cellStyle name="Normal 52 2 3 4" xfId="9436"/>
    <cellStyle name="Normal 52 2 3 4 2" xfId="9437"/>
    <cellStyle name="Normal 52 2 3 5" xfId="9438"/>
    <cellStyle name="Normal 52 2 4" xfId="9439"/>
    <cellStyle name="Normal 52 2 4 2" xfId="9440"/>
    <cellStyle name="Normal 52 2 4 2 2" xfId="9441"/>
    <cellStyle name="Normal 52 2 4 3" xfId="9442"/>
    <cellStyle name="Normal 52 2 5" xfId="9443"/>
    <cellStyle name="Normal 52 2 5 2" xfId="9444"/>
    <cellStyle name="Normal 52 2 5 2 2" xfId="9445"/>
    <cellStyle name="Normal 52 2 5 3" xfId="9446"/>
    <cellStyle name="Normal 52 2 6" xfId="9447"/>
    <cellStyle name="Normal 52 2 6 2" xfId="9448"/>
    <cellStyle name="Normal 52 2 7" xfId="9449"/>
    <cellStyle name="Normal 52 3" xfId="9450"/>
    <cellStyle name="Normal 52 3 2" xfId="9451"/>
    <cellStyle name="Normal 52 3 2 2" xfId="9452"/>
    <cellStyle name="Normal 52 3 2 2 2" xfId="9453"/>
    <cellStyle name="Normal 52 3 2 2 2 2" xfId="9454"/>
    <cellStyle name="Normal 52 3 2 2 3" xfId="9455"/>
    <cellStyle name="Normal 52 3 2 3" xfId="9456"/>
    <cellStyle name="Normal 52 3 2 3 2" xfId="9457"/>
    <cellStyle name="Normal 52 3 2 3 2 2" xfId="9458"/>
    <cellStyle name="Normal 52 3 2 3 3" xfId="9459"/>
    <cellStyle name="Normal 52 3 2 4" xfId="9460"/>
    <cellStyle name="Normal 52 3 2 4 2" xfId="9461"/>
    <cellStyle name="Normal 52 3 2 5" xfId="9462"/>
    <cellStyle name="Normal 52 3 3" xfId="9463"/>
    <cellStyle name="Normal 52 3 3 2" xfId="9464"/>
    <cellStyle name="Normal 52 3 3 2 2" xfId="9465"/>
    <cellStyle name="Normal 52 3 3 3" xfId="9466"/>
    <cellStyle name="Normal 52 3 4" xfId="9467"/>
    <cellStyle name="Normal 52 3 4 2" xfId="9468"/>
    <cellStyle name="Normal 52 3 4 2 2" xfId="9469"/>
    <cellStyle name="Normal 52 3 4 3" xfId="9470"/>
    <cellStyle name="Normal 52 3 5" xfId="9471"/>
    <cellStyle name="Normal 52 3 5 2" xfId="9472"/>
    <cellStyle name="Normal 52 3 6" xfId="9473"/>
    <cellStyle name="Normal 52 4" xfId="9474"/>
    <cellStyle name="Normal 52 4 2" xfId="9475"/>
    <cellStyle name="Normal 52 4 2 2" xfId="9476"/>
    <cellStyle name="Normal 52 4 2 2 2" xfId="9477"/>
    <cellStyle name="Normal 52 4 2 3" xfId="9478"/>
    <cellStyle name="Normal 52 4 3" xfId="9479"/>
    <cellStyle name="Normal 52 4 3 2" xfId="9480"/>
    <cellStyle name="Normal 52 4 3 2 2" xfId="9481"/>
    <cellStyle name="Normal 52 4 3 3" xfId="9482"/>
    <cellStyle name="Normal 52 4 4" xfId="9483"/>
    <cellStyle name="Normal 52 4 4 2" xfId="9484"/>
    <cellStyle name="Normal 52 4 5" xfId="9485"/>
    <cellStyle name="Normal 52 5" xfId="9486"/>
    <cellStyle name="Normal 52 5 2" xfId="9487"/>
    <cellStyle name="Normal 52 5 2 2" xfId="9488"/>
    <cellStyle name="Normal 52 5 3" xfId="9489"/>
    <cellStyle name="Normal 52 6" xfId="9490"/>
    <cellStyle name="Normal 52 6 2" xfId="9491"/>
    <cellStyle name="Normal 52 6 2 2" xfId="9492"/>
    <cellStyle name="Normal 52 6 3" xfId="9493"/>
    <cellStyle name="Normal 52 7" xfId="9494"/>
    <cellStyle name="Normal 52 7 2" xfId="9495"/>
    <cellStyle name="Normal 52 8" xfId="9496"/>
    <cellStyle name="Normal 52 9" xfId="9497"/>
    <cellStyle name="Normal 53" xfId="9498"/>
    <cellStyle name="Normal 53 2" xfId="9499"/>
    <cellStyle name="Normal 53 2 2" xfId="9500"/>
    <cellStyle name="Normal 53 2 2 2" xfId="9501"/>
    <cellStyle name="Normal 53 2 2 2 2" xfId="9502"/>
    <cellStyle name="Normal 53 2 2 2 2 2" xfId="9503"/>
    <cellStyle name="Normal 53 2 2 2 2 2 2" xfId="9504"/>
    <cellStyle name="Normal 53 2 2 2 2 3" xfId="9505"/>
    <cellStyle name="Normal 53 2 2 2 3" xfId="9506"/>
    <cellStyle name="Normal 53 2 2 2 3 2" xfId="9507"/>
    <cellStyle name="Normal 53 2 2 2 3 2 2" xfId="9508"/>
    <cellStyle name="Normal 53 2 2 2 3 3" xfId="9509"/>
    <cellStyle name="Normal 53 2 2 2 4" xfId="9510"/>
    <cellStyle name="Normal 53 2 2 2 4 2" xfId="9511"/>
    <cellStyle name="Normal 53 2 2 2 5" xfId="9512"/>
    <cellStyle name="Normal 53 2 2 3" xfId="9513"/>
    <cellStyle name="Normal 53 2 2 3 2" xfId="9514"/>
    <cellStyle name="Normal 53 2 2 3 2 2" xfId="9515"/>
    <cellStyle name="Normal 53 2 2 3 3" xfId="9516"/>
    <cellStyle name="Normal 53 2 2 4" xfId="9517"/>
    <cellStyle name="Normal 53 2 2 4 2" xfId="9518"/>
    <cellStyle name="Normal 53 2 2 4 2 2" xfId="9519"/>
    <cellStyle name="Normal 53 2 2 4 3" xfId="9520"/>
    <cellStyle name="Normal 53 2 2 5" xfId="9521"/>
    <cellStyle name="Normal 53 2 2 5 2" xfId="9522"/>
    <cellStyle name="Normal 53 2 2 6" xfId="9523"/>
    <cellStyle name="Normal 53 2 3" xfId="9524"/>
    <cellStyle name="Normal 53 2 3 2" xfId="9525"/>
    <cellStyle name="Normal 53 2 3 2 2" xfId="9526"/>
    <cellStyle name="Normal 53 2 3 2 2 2" xfId="9527"/>
    <cellStyle name="Normal 53 2 3 2 3" xfId="9528"/>
    <cellStyle name="Normal 53 2 3 3" xfId="9529"/>
    <cellStyle name="Normal 53 2 3 3 2" xfId="9530"/>
    <cellStyle name="Normal 53 2 3 3 2 2" xfId="9531"/>
    <cellStyle name="Normal 53 2 3 3 3" xfId="9532"/>
    <cellStyle name="Normal 53 2 3 4" xfId="9533"/>
    <cellStyle name="Normal 53 2 3 4 2" xfId="9534"/>
    <cellStyle name="Normal 53 2 3 5" xfId="9535"/>
    <cellStyle name="Normal 53 2 4" xfId="9536"/>
    <cellStyle name="Normal 53 2 4 2" xfId="9537"/>
    <cellStyle name="Normal 53 2 4 2 2" xfId="9538"/>
    <cellStyle name="Normal 53 2 4 3" xfId="9539"/>
    <cellStyle name="Normal 53 2 5" xfId="9540"/>
    <cellStyle name="Normal 53 2 5 2" xfId="9541"/>
    <cellStyle name="Normal 53 2 5 2 2" xfId="9542"/>
    <cellStyle name="Normal 53 2 5 3" xfId="9543"/>
    <cellStyle name="Normal 53 2 6" xfId="9544"/>
    <cellStyle name="Normal 53 2 6 2" xfId="9545"/>
    <cellStyle name="Normal 53 2 7" xfId="9546"/>
    <cellStyle name="Normal 53 3" xfId="9547"/>
    <cellStyle name="Normal 53 3 2" xfId="9548"/>
    <cellStyle name="Normal 53 3 2 2" xfId="9549"/>
    <cellStyle name="Normal 53 3 2 2 2" xfId="9550"/>
    <cellStyle name="Normal 53 3 2 2 2 2" xfId="9551"/>
    <cellStyle name="Normal 53 3 2 2 3" xfId="9552"/>
    <cellStyle name="Normal 53 3 2 3" xfId="9553"/>
    <cellStyle name="Normal 53 3 2 3 2" xfId="9554"/>
    <cellStyle name="Normal 53 3 2 3 2 2" xfId="9555"/>
    <cellStyle name="Normal 53 3 2 3 3" xfId="9556"/>
    <cellStyle name="Normal 53 3 2 4" xfId="9557"/>
    <cellStyle name="Normal 53 3 2 4 2" xfId="9558"/>
    <cellStyle name="Normal 53 3 2 5" xfId="9559"/>
    <cellStyle name="Normal 53 3 3" xfId="9560"/>
    <cellStyle name="Normal 53 3 3 2" xfId="9561"/>
    <cellStyle name="Normal 53 3 3 2 2" xfId="9562"/>
    <cellStyle name="Normal 53 3 3 3" xfId="9563"/>
    <cellStyle name="Normal 53 3 4" xfId="9564"/>
    <cellStyle name="Normal 53 3 4 2" xfId="9565"/>
    <cellStyle name="Normal 53 3 4 2 2" xfId="9566"/>
    <cellStyle name="Normal 53 3 4 3" xfId="9567"/>
    <cellStyle name="Normal 53 3 5" xfId="9568"/>
    <cellStyle name="Normal 53 3 5 2" xfId="9569"/>
    <cellStyle name="Normal 53 3 6" xfId="9570"/>
    <cellStyle name="Normal 53 4" xfId="9571"/>
    <cellStyle name="Normal 53 4 2" xfId="9572"/>
    <cellStyle name="Normal 53 4 2 2" xfId="9573"/>
    <cellStyle name="Normal 53 4 2 2 2" xfId="9574"/>
    <cellStyle name="Normal 53 4 2 3" xfId="9575"/>
    <cellStyle name="Normal 53 4 3" xfId="9576"/>
    <cellStyle name="Normal 53 4 3 2" xfId="9577"/>
    <cellStyle name="Normal 53 4 3 2 2" xfId="9578"/>
    <cellStyle name="Normal 53 4 3 3" xfId="9579"/>
    <cellStyle name="Normal 53 4 4" xfId="9580"/>
    <cellStyle name="Normal 53 4 4 2" xfId="9581"/>
    <cellStyle name="Normal 53 4 5" xfId="9582"/>
    <cellStyle name="Normal 53 5" xfId="9583"/>
    <cellStyle name="Normal 53 5 2" xfId="9584"/>
    <cellStyle name="Normal 53 5 2 2" xfId="9585"/>
    <cellStyle name="Normal 53 5 3" xfId="9586"/>
    <cellStyle name="Normal 53 6" xfId="9587"/>
    <cellStyle name="Normal 53 6 2" xfId="9588"/>
    <cellStyle name="Normal 53 6 2 2" xfId="9589"/>
    <cellStyle name="Normal 53 6 3" xfId="9590"/>
    <cellStyle name="Normal 53 7" xfId="9591"/>
    <cellStyle name="Normal 53 7 2" xfId="9592"/>
    <cellStyle name="Normal 53 8" xfId="9593"/>
    <cellStyle name="Normal 53 9" xfId="9594"/>
    <cellStyle name="Normal 54" xfId="9595"/>
    <cellStyle name="Normal 54 2" xfId="9596"/>
    <cellStyle name="Normal 54 2 2" xfId="9597"/>
    <cellStyle name="Normal 54 2 2 2" xfId="9598"/>
    <cellStyle name="Normal 54 2 2 2 2" xfId="9599"/>
    <cellStyle name="Normal 54 2 2 2 2 2" xfId="9600"/>
    <cellStyle name="Normal 54 2 2 2 2 2 2" xfId="9601"/>
    <cellStyle name="Normal 54 2 2 2 2 3" xfId="9602"/>
    <cellStyle name="Normal 54 2 2 2 3" xfId="9603"/>
    <cellStyle name="Normal 54 2 2 2 3 2" xfId="9604"/>
    <cellStyle name="Normal 54 2 2 2 3 2 2" xfId="9605"/>
    <cellStyle name="Normal 54 2 2 2 3 3" xfId="9606"/>
    <cellStyle name="Normal 54 2 2 2 4" xfId="9607"/>
    <cellStyle name="Normal 54 2 2 2 4 2" xfId="9608"/>
    <cellStyle name="Normal 54 2 2 2 5" xfId="9609"/>
    <cellStyle name="Normal 54 2 2 3" xfId="9610"/>
    <cellStyle name="Normal 54 2 2 3 2" xfId="9611"/>
    <cellStyle name="Normal 54 2 2 3 2 2" xfId="9612"/>
    <cellStyle name="Normal 54 2 2 3 3" xfId="9613"/>
    <cellStyle name="Normal 54 2 2 4" xfId="9614"/>
    <cellStyle name="Normal 54 2 2 4 2" xfId="9615"/>
    <cellStyle name="Normal 54 2 2 4 2 2" xfId="9616"/>
    <cellStyle name="Normal 54 2 2 4 3" xfId="9617"/>
    <cellStyle name="Normal 54 2 2 5" xfId="9618"/>
    <cellStyle name="Normal 54 2 2 5 2" xfId="9619"/>
    <cellStyle name="Normal 54 2 2 6" xfId="9620"/>
    <cellStyle name="Normal 54 2 3" xfId="9621"/>
    <cellStyle name="Normal 54 2 3 2" xfId="9622"/>
    <cellStyle name="Normal 54 2 3 2 2" xfId="9623"/>
    <cellStyle name="Normal 54 2 3 2 2 2" xfId="9624"/>
    <cellStyle name="Normal 54 2 3 2 3" xfId="9625"/>
    <cellStyle name="Normal 54 2 3 3" xfId="9626"/>
    <cellStyle name="Normal 54 2 3 3 2" xfId="9627"/>
    <cellStyle name="Normal 54 2 3 3 2 2" xfId="9628"/>
    <cellStyle name="Normal 54 2 3 3 3" xfId="9629"/>
    <cellStyle name="Normal 54 2 3 4" xfId="9630"/>
    <cellStyle name="Normal 54 2 3 4 2" xfId="9631"/>
    <cellStyle name="Normal 54 2 3 5" xfId="9632"/>
    <cellStyle name="Normal 54 2 4" xfId="9633"/>
    <cellStyle name="Normal 54 2 4 2" xfId="9634"/>
    <cellStyle name="Normal 54 2 4 2 2" xfId="9635"/>
    <cellStyle name="Normal 54 2 4 3" xfId="9636"/>
    <cellStyle name="Normal 54 2 5" xfId="9637"/>
    <cellStyle name="Normal 54 2 5 2" xfId="9638"/>
    <cellStyle name="Normal 54 2 5 2 2" xfId="9639"/>
    <cellStyle name="Normal 54 2 5 3" xfId="9640"/>
    <cellStyle name="Normal 54 2 6" xfId="9641"/>
    <cellStyle name="Normal 54 2 6 2" xfId="9642"/>
    <cellStyle name="Normal 54 2 7" xfId="9643"/>
    <cellStyle name="Normal 54 3" xfId="9644"/>
    <cellStyle name="Normal 54 3 2" xfId="9645"/>
    <cellStyle name="Normal 54 3 2 2" xfId="9646"/>
    <cellStyle name="Normal 54 3 2 2 2" xfId="9647"/>
    <cellStyle name="Normal 54 3 2 2 2 2" xfId="9648"/>
    <cellStyle name="Normal 54 3 2 2 3" xfId="9649"/>
    <cellStyle name="Normal 54 3 2 3" xfId="9650"/>
    <cellStyle name="Normal 54 3 2 3 2" xfId="9651"/>
    <cellStyle name="Normal 54 3 2 3 2 2" xfId="9652"/>
    <cellStyle name="Normal 54 3 2 3 3" xfId="9653"/>
    <cellStyle name="Normal 54 3 2 4" xfId="9654"/>
    <cellStyle name="Normal 54 3 2 4 2" xfId="9655"/>
    <cellStyle name="Normal 54 3 2 5" xfId="9656"/>
    <cellStyle name="Normal 54 3 3" xfId="9657"/>
    <cellStyle name="Normal 54 3 3 2" xfId="9658"/>
    <cellStyle name="Normal 54 3 3 2 2" xfId="9659"/>
    <cellStyle name="Normal 54 3 3 3" xfId="9660"/>
    <cellStyle name="Normal 54 3 4" xfId="9661"/>
    <cellStyle name="Normal 54 3 4 2" xfId="9662"/>
    <cellStyle name="Normal 54 3 4 2 2" xfId="9663"/>
    <cellStyle name="Normal 54 3 4 3" xfId="9664"/>
    <cellStyle name="Normal 54 3 5" xfId="9665"/>
    <cellStyle name="Normal 54 3 5 2" xfId="9666"/>
    <cellStyle name="Normal 54 3 6" xfId="9667"/>
    <cellStyle name="Normal 54 4" xfId="9668"/>
    <cellStyle name="Normal 54 4 2" xfId="9669"/>
    <cellStyle name="Normal 54 4 2 2" xfId="9670"/>
    <cellStyle name="Normal 54 4 2 2 2" xfId="9671"/>
    <cellStyle name="Normal 54 4 2 3" xfId="9672"/>
    <cellStyle name="Normal 54 4 3" xfId="9673"/>
    <cellStyle name="Normal 54 4 3 2" xfId="9674"/>
    <cellStyle name="Normal 54 4 3 2 2" xfId="9675"/>
    <cellStyle name="Normal 54 4 3 3" xfId="9676"/>
    <cellStyle name="Normal 54 4 4" xfId="9677"/>
    <cellStyle name="Normal 54 4 4 2" xfId="9678"/>
    <cellStyle name="Normal 54 4 5" xfId="9679"/>
    <cellStyle name="Normal 54 5" xfId="9680"/>
    <cellStyle name="Normal 54 5 2" xfId="9681"/>
    <cellStyle name="Normal 54 5 2 2" xfId="9682"/>
    <cellStyle name="Normal 54 5 3" xfId="9683"/>
    <cellStyle name="Normal 54 6" xfId="9684"/>
    <cellStyle name="Normal 54 6 2" xfId="9685"/>
    <cellStyle name="Normal 54 6 2 2" xfId="9686"/>
    <cellStyle name="Normal 54 6 3" xfId="9687"/>
    <cellStyle name="Normal 54 7" xfId="9688"/>
    <cellStyle name="Normal 54 7 2" xfId="9689"/>
    <cellStyle name="Normal 54 8" xfId="9690"/>
    <cellStyle name="Normal 54 9" xfId="9691"/>
    <cellStyle name="Normal 55" xfId="9692"/>
    <cellStyle name="Normal 55 2" xfId="9693"/>
    <cellStyle name="Normal 55 2 2" xfId="9694"/>
    <cellStyle name="Normal 55 2 2 2" xfId="9695"/>
    <cellStyle name="Normal 55 2 2 2 2" xfId="9696"/>
    <cellStyle name="Normal 55 2 2 2 2 2" xfId="9697"/>
    <cellStyle name="Normal 55 2 2 2 2 2 2" xfId="9698"/>
    <cellStyle name="Normal 55 2 2 2 2 3" xfId="9699"/>
    <cellStyle name="Normal 55 2 2 2 3" xfId="9700"/>
    <cellStyle name="Normal 55 2 2 2 3 2" xfId="9701"/>
    <cellStyle name="Normal 55 2 2 2 3 2 2" xfId="9702"/>
    <cellStyle name="Normal 55 2 2 2 3 3" xfId="9703"/>
    <cellStyle name="Normal 55 2 2 2 4" xfId="9704"/>
    <cellStyle name="Normal 55 2 2 2 4 2" xfId="9705"/>
    <cellStyle name="Normal 55 2 2 2 5" xfId="9706"/>
    <cellStyle name="Normal 55 2 2 3" xfId="9707"/>
    <cellStyle name="Normal 55 2 2 3 2" xfId="9708"/>
    <cellStyle name="Normal 55 2 2 3 2 2" xfId="9709"/>
    <cellStyle name="Normal 55 2 2 3 3" xfId="9710"/>
    <cellStyle name="Normal 55 2 2 4" xfId="9711"/>
    <cellStyle name="Normal 55 2 2 4 2" xfId="9712"/>
    <cellStyle name="Normal 55 2 2 4 2 2" xfId="9713"/>
    <cellStyle name="Normal 55 2 2 4 3" xfId="9714"/>
    <cellStyle name="Normal 55 2 2 5" xfId="9715"/>
    <cellStyle name="Normal 55 2 2 5 2" xfId="9716"/>
    <cellStyle name="Normal 55 2 2 6" xfId="9717"/>
    <cellStyle name="Normal 55 2 3" xfId="9718"/>
    <cellStyle name="Normal 55 2 3 2" xfId="9719"/>
    <cellStyle name="Normal 55 2 3 2 2" xfId="9720"/>
    <cellStyle name="Normal 55 2 3 2 2 2" xfId="9721"/>
    <cellStyle name="Normal 55 2 3 2 3" xfId="9722"/>
    <cellStyle name="Normal 55 2 3 3" xfId="9723"/>
    <cellStyle name="Normal 55 2 3 3 2" xfId="9724"/>
    <cellStyle name="Normal 55 2 3 3 2 2" xfId="9725"/>
    <cellStyle name="Normal 55 2 3 3 3" xfId="9726"/>
    <cellStyle name="Normal 55 2 3 4" xfId="9727"/>
    <cellStyle name="Normal 55 2 3 4 2" xfId="9728"/>
    <cellStyle name="Normal 55 2 3 5" xfId="9729"/>
    <cellStyle name="Normal 55 2 4" xfId="9730"/>
    <cellStyle name="Normal 55 2 4 2" xfId="9731"/>
    <cellStyle name="Normal 55 2 4 2 2" xfId="9732"/>
    <cellStyle name="Normal 55 2 4 3" xfId="9733"/>
    <cellStyle name="Normal 55 2 5" xfId="9734"/>
    <cellStyle name="Normal 55 2 5 2" xfId="9735"/>
    <cellStyle name="Normal 55 2 5 2 2" xfId="9736"/>
    <cellStyle name="Normal 55 2 5 3" xfId="9737"/>
    <cellStyle name="Normal 55 2 6" xfId="9738"/>
    <cellStyle name="Normal 55 2 6 2" xfId="9739"/>
    <cellStyle name="Normal 55 2 7" xfId="9740"/>
    <cellStyle name="Normal 55 3" xfId="9741"/>
    <cellStyle name="Normal 55 3 2" xfId="9742"/>
    <cellStyle name="Normal 55 3 2 2" xfId="9743"/>
    <cellStyle name="Normal 55 3 2 2 2" xfId="9744"/>
    <cellStyle name="Normal 55 3 2 2 2 2" xfId="9745"/>
    <cellStyle name="Normal 55 3 2 2 3" xfId="9746"/>
    <cellStyle name="Normal 55 3 2 3" xfId="9747"/>
    <cellStyle name="Normal 55 3 2 3 2" xfId="9748"/>
    <cellStyle name="Normal 55 3 2 3 2 2" xfId="9749"/>
    <cellStyle name="Normal 55 3 2 3 3" xfId="9750"/>
    <cellStyle name="Normal 55 3 2 4" xfId="9751"/>
    <cellStyle name="Normal 55 3 2 4 2" xfId="9752"/>
    <cellStyle name="Normal 55 3 2 5" xfId="9753"/>
    <cellStyle name="Normal 55 3 3" xfId="9754"/>
    <cellStyle name="Normal 55 3 3 2" xfId="9755"/>
    <cellStyle name="Normal 55 3 3 2 2" xfId="9756"/>
    <cellStyle name="Normal 55 3 3 3" xfId="9757"/>
    <cellStyle name="Normal 55 3 4" xfId="9758"/>
    <cellStyle name="Normal 55 3 4 2" xfId="9759"/>
    <cellStyle name="Normal 55 3 4 2 2" xfId="9760"/>
    <cellStyle name="Normal 55 3 4 3" xfId="9761"/>
    <cellStyle name="Normal 55 3 5" xfId="9762"/>
    <cellStyle name="Normal 55 3 5 2" xfId="9763"/>
    <cellStyle name="Normal 55 3 6" xfId="9764"/>
    <cellStyle name="Normal 55 4" xfId="9765"/>
    <cellStyle name="Normal 55 4 2" xfId="9766"/>
    <cellStyle name="Normal 55 4 2 2" xfId="9767"/>
    <cellStyle name="Normal 55 4 2 2 2" xfId="9768"/>
    <cellStyle name="Normal 55 4 2 3" xfId="9769"/>
    <cellStyle name="Normal 55 4 3" xfId="9770"/>
    <cellStyle name="Normal 55 4 3 2" xfId="9771"/>
    <cellStyle name="Normal 55 4 3 2 2" xfId="9772"/>
    <cellStyle name="Normal 55 4 3 3" xfId="9773"/>
    <cellStyle name="Normal 55 4 4" xfId="9774"/>
    <cellStyle name="Normal 55 4 4 2" xfId="9775"/>
    <cellStyle name="Normal 55 4 5" xfId="9776"/>
    <cellStyle name="Normal 55 5" xfId="9777"/>
    <cellStyle name="Normal 55 5 2" xfId="9778"/>
    <cellStyle name="Normal 55 5 2 2" xfId="9779"/>
    <cellStyle name="Normal 55 5 3" xfId="9780"/>
    <cellStyle name="Normal 55 6" xfId="9781"/>
    <cellStyle name="Normal 55 6 2" xfId="9782"/>
    <cellStyle name="Normal 55 6 2 2" xfId="9783"/>
    <cellStyle name="Normal 55 6 3" xfId="9784"/>
    <cellStyle name="Normal 55 7" xfId="9785"/>
    <cellStyle name="Normal 55 7 2" xfId="9786"/>
    <cellStyle name="Normal 55 8" xfId="9787"/>
    <cellStyle name="Normal 55 9" xfId="9788"/>
    <cellStyle name="Normal 56" xfId="9789"/>
    <cellStyle name="Normal 56 2" xfId="9790"/>
    <cellStyle name="Normal 56 2 2" xfId="9791"/>
    <cellStyle name="Normal 56 2 2 2" xfId="9792"/>
    <cellStyle name="Normal 56 2 2 2 2" xfId="9793"/>
    <cellStyle name="Normal 56 2 2 2 2 2" xfId="9794"/>
    <cellStyle name="Normal 56 2 2 2 2 2 2" xfId="9795"/>
    <cellStyle name="Normal 56 2 2 2 2 3" xfId="9796"/>
    <cellStyle name="Normal 56 2 2 2 3" xfId="9797"/>
    <cellStyle name="Normal 56 2 2 2 3 2" xfId="9798"/>
    <cellStyle name="Normal 56 2 2 2 3 2 2" xfId="9799"/>
    <cellStyle name="Normal 56 2 2 2 3 3" xfId="9800"/>
    <cellStyle name="Normal 56 2 2 2 4" xfId="9801"/>
    <cellStyle name="Normal 56 2 2 2 4 2" xfId="9802"/>
    <cellStyle name="Normal 56 2 2 2 5" xfId="9803"/>
    <cellStyle name="Normal 56 2 2 3" xfId="9804"/>
    <cellStyle name="Normal 56 2 2 3 2" xfId="9805"/>
    <cellStyle name="Normal 56 2 2 3 2 2" xfId="9806"/>
    <cellStyle name="Normal 56 2 2 3 3" xfId="9807"/>
    <cellStyle name="Normal 56 2 2 4" xfId="9808"/>
    <cellStyle name="Normal 56 2 2 4 2" xfId="9809"/>
    <cellStyle name="Normal 56 2 2 4 2 2" xfId="9810"/>
    <cellStyle name="Normal 56 2 2 4 3" xfId="9811"/>
    <cellStyle name="Normal 56 2 2 5" xfId="9812"/>
    <cellStyle name="Normal 56 2 2 5 2" xfId="9813"/>
    <cellStyle name="Normal 56 2 2 6" xfId="9814"/>
    <cellStyle name="Normal 56 2 3" xfId="9815"/>
    <cellStyle name="Normal 56 2 3 2" xfId="9816"/>
    <cellStyle name="Normal 56 2 3 2 2" xfId="9817"/>
    <cellStyle name="Normal 56 2 3 2 2 2" xfId="9818"/>
    <cellStyle name="Normal 56 2 3 2 3" xfId="9819"/>
    <cellStyle name="Normal 56 2 3 3" xfId="9820"/>
    <cellStyle name="Normal 56 2 3 3 2" xfId="9821"/>
    <cellStyle name="Normal 56 2 3 3 2 2" xfId="9822"/>
    <cellStyle name="Normal 56 2 3 3 3" xfId="9823"/>
    <cellStyle name="Normal 56 2 3 4" xfId="9824"/>
    <cellStyle name="Normal 56 2 3 4 2" xfId="9825"/>
    <cellStyle name="Normal 56 2 3 5" xfId="9826"/>
    <cellStyle name="Normal 56 2 4" xfId="9827"/>
    <cellStyle name="Normal 56 2 4 2" xfId="9828"/>
    <cellStyle name="Normal 56 2 4 2 2" xfId="9829"/>
    <cellStyle name="Normal 56 2 4 3" xfId="9830"/>
    <cellStyle name="Normal 56 2 5" xfId="9831"/>
    <cellStyle name="Normal 56 2 5 2" xfId="9832"/>
    <cellStyle name="Normal 56 2 5 2 2" xfId="9833"/>
    <cellStyle name="Normal 56 2 5 3" xfId="9834"/>
    <cellStyle name="Normal 56 2 6" xfId="9835"/>
    <cellStyle name="Normal 56 2 6 2" xfId="9836"/>
    <cellStyle name="Normal 56 2 7" xfId="9837"/>
    <cellStyle name="Normal 56 3" xfId="9838"/>
    <cellStyle name="Normal 56 3 2" xfId="9839"/>
    <cellStyle name="Normal 56 3 2 2" xfId="9840"/>
    <cellStyle name="Normal 56 3 2 2 2" xfId="9841"/>
    <cellStyle name="Normal 56 3 2 2 2 2" xfId="9842"/>
    <cellStyle name="Normal 56 3 2 2 3" xfId="9843"/>
    <cellStyle name="Normal 56 3 2 3" xfId="9844"/>
    <cellStyle name="Normal 56 3 2 3 2" xfId="9845"/>
    <cellStyle name="Normal 56 3 2 3 2 2" xfId="9846"/>
    <cellStyle name="Normal 56 3 2 3 3" xfId="9847"/>
    <cellStyle name="Normal 56 3 2 4" xfId="9848"/>
    <cellStyle name="Normal 56 3 2 4 2" xfId="9849"/>
    <cellStyle name="Normal 56 3 2 5" xfId="9850"/>
    <cellStyle name="Normal 56 3 3" xfId="9851"/>
    <cellStyle name="Normal 56 3 3 2" xfId="9852"/>
    <cellStyle name="Normal 56 3 3 2 2" xfId="9853"/>
    <cellStyle name="Normal 56 3 3 3" xfId="9854"/>
    <cellStyle name="Normal 56 3 4" xfId="9855"/>
    <cellStyle name="Normal 56 3 4 2" xfId="9856"/>
    <cellStyle name="Normal 56 3 4 2 2" xfId="9857"/>
    <cellStyle name="Normal 56 3 4 3" xfId="9858"/>
    <cellStyle name="Normal 56 3 5" xfId="9859"/>
    <cellStyle name="Normal 56 3 5 2" xfId="9860"/>
    <cellStyle name="Normal 56 3 6" xfId="9861"/>
    <cellStyle name="Normal 56 4" xfId="9862"/>
    <cellStyle name="Normal 56 4 2" xfId="9863"/>
    <cellStyle name="Normal 56 4 2 2" xfId="9864"/>
    <cellStyle name="Normal 56 4 2 2 2" xfId="9865"/>
    <cellStyle name="Normal 56 4 2 3" xfId="9866"/>
    <cellStyle name="Normal 56 4 3" xfId="9867"/>
    <cellStyle name="Normal 56 4 3 2" xfId="9868"/>
    <cellStyle name="Normal 56 4 3 2 2" xfId="9869"/>
    <cellStyle name="Normal 56 4 3 3" xfId="9870"/>
    <cellStyle name="Normal 56 4 4" xfId="9871"/>
    <cellStyle name="Normal 56 4 4 2" xfId="9872"/>
    <cellStyle name="Normal 56 4 5" xfId="9873"/>
    <cellStyle name="Normal 56 5" xfId="9874"/>
    <cellStyle name="Normal 56 5 2" xfId="9875"/>
    <cellStyle name="Normal 56 5 2 2" xfId="9876"/>
    <cellStyle name="Normal 56 5 3" xfId="9877"/>
    <cellStyle name="Normal 56 6" xfId="9878"/>
    <cellStyle name="Normal 56 6 2" xfId="9879"/>
    <cellStyle name="Normal 56 6 2 2" xfId="9880"/>
    <cellStyle name="Normal 56 6 3" xfId="9881"/>
    <cellStyle name="Normal 56 7" xfId="9882"/>
    <cellStyle name="Normal 56 7 2" xfId="9883"/>
    <cellStyle name="Normal 56 8" xfId="9884"/>
    <cellStyle name="Normal 56 9" xfId="9885"/>
    <cellStyle name="Normal 57" xfId="9886"/>
    <cellStyle name="Normal 57 2" xfId="9887"/>
    <cellStyle name="Normal 57 2 2" xfId="9888"/>
    <cellStyle name="Normal 57 2 2 2" xfId="9889"/>
    <cellStyle name="Normal 57 2 2 2 2" xfId="9890"/>
    <cellStyle name="Normal 57 2 2 2 2 2" xfId="9891"/>
    <cellStyle name="Normal 57 2 2 2 2 2 2" xfId="9892"/>
    <cellStyle name="Normal 57 2 2 2 2 3" xfId="9893"/>
    <cellStyle name="Normal 57 2 2 2 3" xfId="9894"/>
    <cellStyle name="Normal 57 2 2 2 3 2" xfId="9895"/>
    <cellStyle name="Normal 57 2 2 2 3 2 2" xfId="9896"/>
    <cellStyle name="Normal 57 2 2 2 3 3" xfId="9897"/>
    <cellStyle name="Normal 57 2 2 2 4" xfId="9898"/>
    <cellStyle name="Normal 57 2 2 2 4 2" xfId="9899"/>
    <cellStyle name="Normal 57 2 2 2 5" xfId="9900"/>
    <cellStyle name="Normal 57 2 2 3" xfId="9901"/>
    <cellStyle name="Normal 57 2 2 3 2" xfId="9902"/>
    <cellStyle name="Normal 57 2 2 3 2 2" xfId="9903"/>
    <cellStyle name="Normal 57 2 2 3 3" xfId="9904"/>
    <cellStyle name="Normal 57 2 2 4" xfId="9905"/>
    <cellStyle name="Normal 57 2 2 4 2" xfId="9906"/>
    <cellStyle name="Normal 57 2 2 4 2 2" xfId="9907"/>
    <cellStyle name="Normal 57 2 2 4 3" xfId="9908"/>
    <cellStyle name="Normal 57 2 2 5" xfId="9909"/>
    <cellStyle name="Normal 57 2 2 5 2" xfId="9910"/>
    <cellStyle name="Normal 57 2 2 6" xfId="9911"/>
    <cellStyle name="Normal 57 2 3" xfId="9912"/>
    <cellStyle name="Normal 57 2 3 2" xfId="9913"/>
    <cellStyle name="Normal 57 2 3 2 2" xfId="9914"/>
    <cellStyle name="Normal 57 2 3 2 2 2" xfId="9915"/>
    <cellStyle name="Normal 57 2 3 2 3" xfId="9916"/>
    <cellStyle name="Normal 57 2 3 3" xfId="9917"/>
    <cellStyle name="Normal 57 2 3 3 2" xfId="9918"/>
    <cellStyle name="Normal 57 2 3 3 2 2" xfId="9919"/>
    <cellStyle name="Normal 57 2 3 3 3" xfId="9920"/>
    <cellStyle name="Normal 57 2 3 4" xfId="9921"/>
    <cellStyle name="Normal 57 2 3 4 2" xfId="9922"/>
    <cellStyle name="Normal 57 2 3 5" xfId="9923"/>
    <cellStyle name="Normal 57 2 4" xfId="9924"/>
    <cellStyle name="Normal 57 2 4 2" xfId="9925"/>
    <cellStyle name="Normal 57 2 4 2 2" xfId="9926"/>
    <cellStyle name="Normal 57 2 4 3" xfId="9927"/>
    <cellStyle name="Normal 57 2 5" xfId="9928"/>
    <cellStyle name="Normal 57 2 5 2" xfId="9929"/>
    <cellStyle name="Normal 57 2 5 2 2" xfId="9930"/>
    <cellStyle name="Normal 57 2 5 3" xfId="9931"/>
    <cellStyle name="Normal 57 2 6" xfId="9932"/>
    <cellStyle name="Normal 57 2 6 2" xfId="9933"/>
    <cellStyle name="Normal 57 2 7" xfId="9934"/>
    <cellStyle name="Normal 57 3" xfId="9935"/>
    <cellStyle name="Normal 57 3 2" xfId="9936"/>
    <cellStyle name="Normal 57 3 2 2" xfId="9937"/>
    <cellStyle name="Normal 57 3 2 2 2" xfId="9938"/>
    <cellStyle name="Normal 57 3 2 2 2 2" xfId="9939"/>
    <cellStyle name="Normal 57 3 2 2 3" xfId="9940"/>
    <cellStyle name="Normal 57 3 2 3" xfId="9941"/>
    <cellStyle name="Normal 57 3 2 3 2" xfId="9942"/>
    <cellStyle name="Normal 57 3 2 3 2 2" xfId="9943"/>
    <cellStyle name="Normal 57 3 2 3 3" xfId="9944"/>
    <cellStyle name="Normal 57 3 2 4" xfId="9945"/>
    <cellStyle name="Normal 57 3 2 4 2" xfId="9946"/>
    <cellStyle name="Normal 57 3 2 5" xfId="9947"/>
    <cellStyle name="Normal 57 3 3" xfId="9948"/>
    <cellStyle name="Normal 57 3 3 2" xfId="9949"/>
    <cellStyle name="Normal 57 3 3 2 2" xfId="9950"/>
    <cellStyle name="Normal 57 3 3 3" xfId="9951"/>
    <cellStyle name="Normal 57 3 4" xfId="9952"/>
    <cellStyle name="Normal 57 3 4 2" xfId="9953"/>
    <cellStyle name="Normal 57 3 4 2 2" xfId="9954"/>
    <cellStyle name="Normal 57 3 4 3" xfId="9955"/>
    <cellStyle name="Normal 57 3 5" xfId="9956"/>
    <cellStyle name="Normal 57 3 5 2" xfId="9957"/>
    <cellStyle name="Normal 57 3 6" xfId="9958"/>
    <cellStyle name="Normal 57 4" xfId="9959"/>
    <cellStyle name="Normal 57 4 2" xfId="9960"/>
    <cellStyle name="Normal 57 4 2 2" xfId="9961"/>
    <cellStyle name="Normal 57 4 2 2 2" xfId="9962"/>
    <cellStyle name="Normal 57 4 2 3" xfId="9963"/>
    <cellStyle name="Normal 57 4 3" xfId="9964"/>
    <cellStyle name="Normal 57 4 3 2" xfId="9965"/>
    <cellStyle name="Normal 57 4 3 2 2" xfId="9966"/>
    <cellStyle name="Normal 57 4 3 3" xfId="9967"/>
    <cellStyle name="Normal 57 4 4" xfId="9968"/>
    <cellStyle name="Normal 57 4 4 2" xfId="9969"/>
    <cellStyle name="Normal 57 4 5" xfId="9970"/>
    <cellStyle name="Normal 57 5" xfId="9971"/>
    <cellStyle name="Normal 57 5 2" xfId="9972"/>
    <cellStyle name="Normal 57 5 2 2" xfId="9973"/>
    <cellStyle name="Normal 57 5 3" xfId="9974"/>
    <cellStyle name="Normal 57 6" xfId="9975"/>
    <cellStyle name="Normal 57 6 2" xfId="9976"/>
    <cellStyle name="Normal 57 6 2 2" xfId="9977"/>
    <cellStyle name="Normal 57 6 3" xfId="9978"/>
    <cellStyle name="Normal 57 7" xfId="9979"/>
    <cellStyle name="Normal 57 7 2" xfId="9980"/>
    <cellStyle name="Normal 57 8" xfId="9981"/>
    <cellStyle name="Normal 57 9" xfId="9982"/>
    <cellStyle name="Normal 58" xfId="9983"/>
    <cellStyle name="Normal 58 2" xfId="9984"/>
    <cellStyle name="Normal 58 2 2" xfId="9985"/>
    <cellStyle name="Normal 58 2 2 2" xfId="9986"/>
    <cellStyle name="Normal 58 2 2 2 2" xfId="9987"/>
    <cellStyle name="Normal 58 2 2 2 2 2" xfId="9988"/>
    <cellStyle name="Normal 58 2 2 2 2 2 2" xfId="9989"/>
    <cellStyle name="Normal 58 2 2 2 2 3" xfId="9990"/>
    <cellStyle name="Normal 58 2 2 2 3" xfId="9991"/>
    <cellStyle name="Normal 58 2 2 2 3 2" xfId="9992"/>
    <cellStyle name="Normal 58 2 2 2 3 2 2" xfId="9993"/>
    <cellStyle name="Normal 58 2 2 2 3 3" xfId="9994"/>
    <cellStyle name="Normal 58 2 2 2 4" xfId="9995"/>
    <cellStyle name="Normal 58 2 2 2 4 2" xfId="9996"/>
    <cellStyle name="Normal 58 2 2 2 5" xfId="9997"/>
    <cellStyle name="Normal 58 2 2 3" xfId="9998"/>
    <cellStyle name="Normal 58 2 2 3 2" xfId="9999"/>
    <cellStyle name="Normal 58 2 2 3 2 2" xfId="10000"/>
    <cellStyle name="Normal 58 2 2 3 3" xfId="10001"/>
    <cellStyle name="Normal 58 2 2 4" xfId="10002"/>
    <cellStyle name="Normal 58 2 2 4 2" xfId="10003"/>
    <cellStyle name="Normal 58 2 2 4 2 2" xfId="10004"/>
    <cellStyle name="Normal 58 2 2 4 3" xfId="10005"/>
    <cellStyle name="Normal 58 2 2 5" xfId="10006"/>
    <cellStyle name="Normal 58 2 2 5 2" xfId="10007"/>
    <cellStyle name="Normal 58 2 2 6" xfId="10008"/>
    <cellStyle name="Normal 58 2 3" xfId="10009"/>
    <cellStyle name="Normal 58 2 3 2" xfId="10010"/>
    <cellStyle name="Normal 58 2 3 2 2" xfId="10011"/>
    <cellStyle name="Normal 58 2 3 2 2 2" xfId="10012"/>
    <cellStyle name="Normal 58 2 3 2 3" xfId="10013"/>
    <cellStyle name="Normal 58 2 3 3" xfId="10014"/>
    <cellStyle name="Normal 58 2 3 3 2" xfId="10015"/>
    <cellStyle name="Normal 58 2 3 3 2 2" xfId="10016"/>
    <cellStyle name="Normal 58 2 3 3 3" xfId="10017"/>
    <cellStyle name="Normal 58 2 3 4" xfId="10018"/>
    <cellStyle name="Normal 58 2 3 4 2" xfId="10019"/>
    <cellStyle name="Normal 58 2 3 5" xfId="10020"/>
    <cellStyle name="Normal 58 2 4" xfId="10021"/>
    <cellStyle name="Normal 58 2 4 2" xfId="10022"/>
    <cellStyle name="Normal 58 2 4 2 2" xfId="10023"/>
    <cellStyle name="Normal 58 2 4 3" xfId="10024"/>
    <cellStyle name="Normal 58 2 5" xfId="10025"/>
    <cellStyle name="Normal 58 2 5 2" xfId="10026"/>
    <cellStyle name="Normal 58 2 5 2 2" xfId="10027"/>
    <cellStyle name="Normal 58 2 5 3" xfId="10028"/>
    <cellStyle name="Normal 58 2 6" xfId="10029"/>
    <cellStyle name="Normal 58 2 6 2" xfId="10030"/>
    <cellStyle name="Normal 58 2 7" xfId="10031"/>
    <cellStyle name="Normal 58 3" xfId="10032"/>
    <cellStyle name="Normal 58 3 2" xfId="10033"/>
    <cellStyle name="Normal 58 3 2 2" xfId="10034"/>
    <cellStyle name="Normal 58 3 2 2 2" xfId="10035"/>
    <cellStyle name="Normal 58 3 2 2 2 2" xfId="10036"/>
    <cellStyle name="Normal 58 3 2 2 3" xfId="10037"/>
    <cellStyle name="Normal 58 3 2 3" xfId="10038"/>
    <cellStyle name="Normal 58 3 2 3 2" xfId="10039"/>
    <cellStyle name="Normal 58 3 2 3 2 2" xfId="10040"/>
    <cellStyle name="Normal 58 3 2 3 3" xfId="10041"/>
    <cellStyle name="Normal 58 3 2 4" xfId="10042"/>
    <cellStyle name="Normal 58 3 2 4 2" xfId="10043"/>
    <cellStyle name="Normal 58 3 2 5" xfId="10044"/>
    <cellStyle name="Normal 58 3 3" xfId="10045"/>
    <cellStyle name="Normal 58 3 3 2" xfId="10046"/>
    <cellStyle name="Normal 58 3 3 2 2" xfId="10047"/>
    <cellStyle name="Normal 58 3 3 3" xfId="10048"/>
    <cellStyle name="Normal 58 3 4" xfId="10049"/>
    <cellStyle name="Normal 58 3 4 2" xfId="10050"/>
    <cellStyle name="Normal 58 3 4 2 2" xfId="10051"/>
    <cellStyle name="Normal 58 3 4 3" xfId="10052"/>
    <cellStyle name="Normal 58 3 5" xfId="10053"/>
    <cellStyle name="Normal 58 3 5 2" xfId="10054"/>
    <cellStyle name="Normal 58 3 6" xfId="10055"/>
    <cellStyle name="Normal 58 4" xfId="10056"/>
    <cellStyle name="Normal 58 4 2" xfId="10057"/>
    <cellStyle name="Normal 58 4 2 2" xfId="10058"/>
    <cellStyle name="Normal 58 4 2 2 2" xfId="10059"/>
    <cellStyle name="Normal 58 4 2 3" xfId="10060"/>
    <cellStyle name="Normal 58 4 3" xfId="10061"/>
    <cellStyle name="Normal 58 4 3 2" xfId="10062"/>
    <cellStyle name="Normal 58 4 3 2 2" xfId="10063"/>
    <cellStyle name="Normal 58 4 3 3" xfId="10064"/>
    <cellStyle name="Normal 58 4 4" xfId="10065"/>
    <cellStyle name="Normal 58 4 4 2" xfId="10066"/>
    <cellStyle name="Normal 58 4 5" xfId="10067"/>
    <cellStyle name="Normal 58 5" xfId="10068"/>
    <cellStyle name="Normal 58 5 2" xfId="10069"/>
    <cellStyle name="Normal 58 5 2 2" xfId="10070"/>
    <cellStyle name="Normal 58 5 3" xfId="10071"/>
    <cellStyle name="Normal 58 6" xfId="10072"/>
    <cellStyle name="Normal 58 6 2" xfId="10073"/>
    <cellStyle name="Normal 58 6 2 2" xfId="10074"/>
    <cellStyle name="Normal 58 6 3" xfId="10075"/>
    <cellStyle name="Normal 58 7" xfId="10076"/>
    <cellStyle name="Normal 58 7 2" xfId="10077"/>
    <cellStyle name="Normal 58 8" xfId="10078"/>
    <cellStyle name="Normal 58 9" xfId="10079"/>
    <cellStyle name="Normal 59" xfId="10080"/>
    <cellStyle name="Normal 59 2" xfId="10081"/>
    <cellStyle name="Normal 59 2 2" xfId="10082"/>
    <cellStyle name="Normal 59 2 2 2" xfId="10083"/>
    <cellStyle name="Normal 59 2 2 2 2" xfId="10084"/>
    <cellStyle name="Normal 59 2 2 2 2 2" xfId="10085"/>
    <cellStyle name="Normal 59 2 2 2 2 2 2" xfId="10086"/>
    <cellStyle name="Normal 59 2 2 2 2 3" xfId="10087"/>
    <cellStyle name="Normal 59 2 2 2 3" xfId="10088"/>
    <cellStyle name="Normal 59 2 2 2 3 2" xfId="10089"/>
    <cellStyle name="Normal 59 2 2 2 3 2 2" xfId="10090"/>
    <cellStyle name="Normal 59 2 2 2 3 3" xfId="10091"/>
    <cellStyle name="Normal 59 2 2 2 4" xfId="10092"/>
    <cellStyle name="Normal 59 2 2 2 4 2" xfId="10093"/>
    <cellStyle name="Normal 59 2 2 2 5" xfId="10094"/>
    <cellStyle name="Normal 59 2 2 3" xfId="10095"/>
    <cellStyle name="Normal 59 2 2 3 2" xfId="10096"/>
    <cellStyle name="Normal 59 2 2 3 2 2" xfId="10097"/>
    <cellStyle name="Normal 59 2 2 3 3" xfId="10098"/>
    <cellStyle name="Normal 59 2 2 4" xfId="10099"/>
    <cellStyle name="Normal 59 2 2 4 2" xfId="10100"/>
    <cellStyle name="Normal 59 2 2 4 2 2" xfId="10101"/>
    <cellStyle name="Normal 59 2 2 4 3" xfId="10102"/>
    <cellStyle name="Normal 59 2 2 5" xfId="10103"/>
    <cellStyle name="Normal 59 2 2 5 2" xfId="10104"/>
    <cellStyle name="Normal 59 2 2 6" xfId="10105"/>
    <cellStyle name="Normal 59 2 3" xfId="10106"/>
    <cellStyle name="Normal 59 2 3 2" xfId="10107"/>
    <cellStyle name="Normal 59 2 3 2 2" xfId="10108"/>
    <cellStyle name="Normal 59 2 3 2 2 2" xfId="10109"/>
    <cellStyle name="Normal 59 2 3 2 3" xfId="10110"/>
    <cellStyle name="Normal 59 2 3 3" xfId="10111"/>
    <cellStyle name="Normal 59 2 3 3 2" xfId="10112"/>
    <cellStyle name="Normal 59 2 3 3 2 2" xfId="10113"/>
    <cellStyle name="Normal 59 2 3 3 3" xfId="10114"/>
    <cellStyle name="Normal 59 2 3 4" xfId="10115"/>
    <cellStyle name="Normal 59 2 3 4 2" xfId="10116"/>
    <cellStyle name="Normal 59 2 3 5" xfId="10117"/>
    <cellStyle name="Normal 59 2 4" xfId="10118"/>
    <cellStyle name="Normal 59 2 4 2" xfId="10119"/>
    <cellStyle name="Normal 59 2 4 2 2" xfId="10120"/>
    <cellStyle name="Normal 59 2 4 3" xfId="10121"/>
    <cellStyle name="Normal 59 2 5" xfId="10122"/>
    <cellStyle name="Normal 59 2 5 2" xfId="10123"/>
    <cellStyle name="Normal 59 2 5 2 2" xfId="10124"/>
    <cellStyle name="Normal 59 2 5 3" xfId="10125"/>
    <cellStyle name="Normal 59 2 6" xfId="10126"/>
    <cellStyle name="Normal 59 2 6 2" xfId="10127"/>
    <cellStyle name="Normal 59 2 7" xfId="10128"/>
    <cellStyle name="Normal 59 3" xfId="10129"/>
    <cellStyle name="Normal 59 3 2" xfId="10130"/>
    <cellStyle name="Normal 59 3 2 2" xfId="10131"/>
    <cellStyle name="Normal 59 3 2 2 2" xfId="10132"/>
    <cellStyle name="Normal 59 3 2 2 2 2" xfId="10133"/>
    <cellStyle name="Normal 59 3 2 2 3" xfId="10134"/>
    <cellStyle name="Normal 59 3 2 3" xfId="10135"/>
    <cellStyle name="Normal 59 3 2 3 2" xfId="10136"/>
    <cellStyle name="Normal 59 3 2 3 2 2" xfId="10137"/>
    <cellStyle name="Normal 59 3 2 3 3" xfId="10138"/>
    <cellStyle name="Normal 59 3 2 4" xfId="10139"/>
    <cellStyle name="Normal 59 3 2 4 2" xfId="10140"/>
    <cellStyle name="Normal 59 3 2 5" xfId="10141"/>
    <cellStyle name="Normal 59 3 3" xfId="10142"/>
    <cellStyle name="Normal 59 3 3 2" xfId="10143"/>
    <cellStyle name="Normal 59 3 3 2 2" xfId="10144"/>
    <cellStyle name="Normal 59 3 3 3" xfId="10145"/>
    <cellStyle name="Normal 59 3 4" xfId="10146"/>
    <cellStyle name="Normal 59 3 4 2" xfId="10147"/>
    <cellStyle name="Normal 59 3 4 2 2" xfId="10148"/>
    <cellStyle name="Normal 59 3 4 3" xfId="10149"/>
    <cellStyle name="Normal 59 3 5" xfId="10150"/>
    <cellStyle name="Normal 59 3 5 2" xfId="10151"/>
    <cellStyle name="Normal 59 3 6" xfId="10152"/>
    <cellStyle name="Normal 59 4" xfId="10153"/>
    <cellStyle name="Normal 59 4 2" xfId="10154"/>
    <cellStyle name="Normal 59 4 2 2" xfId="10155"/>
    <cellStyle name="Normal 59 4 2 2 2" xfId="10156"/>
    <cellStyle name="Normal 59 4 2 3" xfId="10157"/>
    <cellStyle name="Normal 59 4 3" xfId="10158"/>
    <cellStyle name="Normal 59 4 3 2" xfId="10159"/>
    <cellStyle name="Normal 59 4 3 2 2" xfId="10160"/>
    <cellStyle name="Normal 59 4 3 3" xfId="10161"/>
    <cellStyle name="Normal 59 4 4" xfId="10162"/>
    <cellStyle name="Normal 59 4 4 2" xfId="10163"/>
    <cellStyle name="Normal 59 4 5" xfId="10164"/>
    <cellStyle name="Normal 59 5" xfId="10165"/>
    <cellStyle name="Normal 59 5 2" xfId="10166"/>
    <cellStyle name="Normal 59 5 2 2" xfId="10167"/>
    <cellStyle name="Normal 59 5 3" xfId="10168"/>
    <cellStyle name="Normal 59 6" xfId="10169"/>
    <cellStyle name="Normal 59 6 2" xfId="10170"/>
    <cellStyle name="Normal 59 6 2 2" xfId="10171"/>
    <cellStyle name="Normal 59 6 3" xfId="10172"/>
    <cellStyle name="Normal 59 7" xfId="10173"/>
    <cellStyle name="Normal 59 7 2" xfId="10174"/>
    <cellStyle name="Normal 59 8" xfId="10175"/>
    <cellStyle name="Normal 59 9" xfId="10176"/>
    <cellStyle name="Normal 6" xfId="10177"/>
    <cellStyle name="Normal 6 10" xfId="10178"/>
    <cellStyle name="Normal 6 10 2" xfId="10179"/>
    <cellStyle name="Normal 6 11" xfId="10180"/>
    <cellStyle name="Normal 6 12" xfId="10181"/>
    <cellStyle name="Normal 6 2" xfId="10182"/>
    <cellStyle name="Normal 6 2 10" xfId="10183"/>
    <cellStyle name="Normal 6 2 2" xfId="10184"/>
    <cellStyle name="Normal 6 2 2 2" xfId="10185"/>
    <cellStyle name="Normal 6 2 2 2 2" xfId="10186"/>
    <cellStyle name="Normal 6 2 2 2 2 2" xfId="10187"/>
    <cellStyle name="Normal 6 2 2 2 2 2 2" xfId="10188"/>
    <cellStyle name="Normal 6 2 2 2 2 2 2 2" xfId="10189"/>
    <cellStyle name="Normal 6 2 2 2 2 2 2 2 2" xfId="10190"/>
    <cellStyle name="Normal 6 2 2 2 2 2 2 3" xfId="10191"/>
    <cellStyle name="Normal 6 2 2 2 2 2 3" xfId="10192"/>
    <cellStyle name="Normal 6 2 2 2 2 2 3 2" xfId="10193"/>
    <cellStyle name="Normal 6 2 2 2 2 2 3 2 2" xfId="10194"/>
    <cellStyle name="Normal 6 2 2 2 2 2 3 3" xfId="10195"/>
    <cellStyle name="Normal 6 2 2 2 2 2 4" xfId="10196"/>
    <cellStyle name="Normal 6 2 2 2 2 2 4 2" xfId="10197"/>
    <cellStyle name="Normal 6 2 2 2 2 2 5" xfId="10198"/>
    <cellStyle name="Normal 6 2 2 2 2 3" xfId="10199"/>
    <cellStyle name="Normal 6 2 2 2 2 3 2" xfId="10200"/>
    <cellStyle name="Normal 6 2 2 2 2 3 2 2" xfId="10201"/>
    <cellStyle name="Normal 6 2 2 2 2 3 3" xfId="10202"/>
    <cellStyle name="Normal 6 2 2 2 2 4" xfId="10203"/>
    <cellStyle name="Normal 6 2 2 2 2 4 2" xfId="10204"/>
    <cellStyle name="Normal 6 2 2 2 2 4 2 2" xfId="10205"/>
    <cellStyle name="Normal 6 2 2 2 2 4 3" xfId="10206"/>
    <cellStyle name="Normal 6 2 2 2 2 5" xfId="10207"/>
    <cellStyle name="Normal 6 2 2 2 2 5 2" xfId="10208"/>
    <cellStyle name="Normal 6 2 2 2 2 6" xfId="10209"/>
    <cellStyle name="Normal 6 2 2 2 3" xfId="10210"/>
    <cellStyle name="Normal 6 2 2 2 3 2" xfId="10211"/>
    <cellStyle name="Normal 6 2 2 2 3 2 2" xfId="10212"/>
    <cellStyle name="Normal 6 2 2 2 3 2 2 2" xfId="10213"/>
    <cellStyle name="Normal 6 2 2 2 3 2 3" xfId="10214"/>
    <cellStyle name="Normal 6 2 2 2 3 3" xfId="10215"/>
    <cellStyle name="Normal 6 2 2 2 3 3 2" xfId="10216"/>
    <cellStyle name="Normal 6 2 2 2 3 3 2 2" xfId="10217"/>
    <cellStyle name="Normal 6 2 2 2 3 3 3" xfId="10218"/>
    <cellStyle name="Normal 6 2 2 2 3 4" xfId="10219"/>
    <cellStyle name="Normal 6 2 2 2 3 4 2" xfId="10220"/>
    <cellStyle name="Normal 6 2 2 2 3 5" xfId="10221"/>
    <cellStyle name="Normal 6 2 2 2 4" xfId="10222"/>
    <cellStyle name="Normal 6 2 2 2 4 2" xfId="10223"/>
    <cellStyle name="Normal 6 2 2 2 4 2 2" xfId="10224"/>
    <cellStyle name="Normal 6 2 2 2 4 3" xfId="10225"/>
    <cellStyle name="Normal 6 2 2 2 5" xfId="10226"/>
    <cellStyle name="Normal 6 2 2 2 5 2" xfId="10227"/>
    <cellStyle name="Normal 6 2 2 2 5 2 2" xfId="10228"/>
    <cellStyle name="Normal 6 2 2 2 5 3" xfId="10229"/>
    <cellStyle name="Normal 6 2 2 2 6" xfId="10230"/>
    <cellStyle name="Normal 6 2 2 2 6 2" xfId="10231"/>
    <cellStyle name="Normal 6 2 2 2 7" xfId="10232"/>
    <cellStyle name="Normal 6 2 2 3" xfId="10233"/>
    <cellStyle name="Normal 6 2 2 3 2" xfId="10234"/>
    <cellStyle name="Normal 6 2 2 3 2 2" xfId="10235"/>
    <cellStyle name="Normal 6 2 2 3 2 2 2" xfId="10236"/>
    <cellStyle name="Normal 6 2 2 3 2 2 2 2" xfId="10237"/>
    <cellStyle name="Normal 6 2 2 3 2 2 3" xfId="10238"/>
    <cellStyle name="Normal 6 2 2 3 2 3" xfId="10239"/>
    <cellStyle name="Normal 6 2 2 3 2 3 2" xfId="10240"/>
    <cellStyle name="Normal 6 2 2 3 2 3 2 2" xfId="10241"/>
    <cellStyle name="Normal 6 2 2 3 2 3 3" xfId="10242"/>
    <cellStyle name="Normal 6 2 2 3 2 4" xfId="10243"/>
    <cellStyle name="Normal 6 2 2 3 2 4 2" xfId="10244"/>
    <cellStyle name="Normal 6 2 2 3 2 5" xfId="10245"/>
    <cellStyle name="Normal 6 2 2 3 3" xfId="10246"/>
    <cellStyle name="Normal 6 2 2 3 3 2" xfId="10247"/>
    <cellStyle name="Normal 6 2 2 3 3 2 2" xfId="10248"/>
    <cellStyle name="Normal 6 2 2 3 3 3" xfId="10249"/>
    <cellStyle name="Normal 6 2 2 3 4" xfId="10250"/>
    <cellStyle name="Normal 6 2 2 3 4 2" xfId="10251"/>
    <cellStyle name="Normal 6 2 2 3 4 2 2" xfId="10252"/>
    <cellStyle name="Normal 6 2 2 3 4 3" xfId="10253"/>
    <cellStyle name="Normal 6 2 2 3 5" xfId="10254"/>
    <cellStyle name="Normal 6 2 2 3 5 2" xfId="10255"/>
    <cellStyle name="Normal 6 2 2 3 6" xfId="10256"/>
    <cellStyle name="Normal 6 2 2 4" xfId="10257"/>
    <cellStyle name="Normal 6 2 2 4 2" xfId="10258"/>
    <cellStyle name="Normal 6 2 2 4 2 2" xfId="10259"/>
    <cellStyle name="Normal 6 2 2 4 2 2 2" xfId="10260"/>
    <cellStyle name="Normal 6 2 2 4 2 3" xfId="10261"/>
    <cellStyle name="Normal 6 2 2 4 3" xfId="10262"/>
    <cellStyle name="Normal 6 2 2 4 3 2" xfId="10263"/>
    <cellStyle name="Normal 6 2 2 4 3 2 2" xfId="10264"/>
    <cellStyle name="Normal 6 2 2 4 3 3" xfId="10265"/>
    <cellStyle name="Normal 6 2 2 4 4" xfId="10266"/>
    <cellStyle name="Normal 6 2 2 4 4 2" xfId="10267"/>
    <cellStyle name="Normal 6 2 2 4 5" xfId="10268"/>
    <cellStyle name="Normal 6 2 2 5" xfId="10269"/>
    <cellStyle name="Normal 6 2 2 5 2" xfId="10270"/>
    <cellStyle name="Normal 6 2 2 5 2 2" xfId="10271"/>
    <cellStyle name="Normal 6 2 2 5 3" xfId="10272"/>
    <cellStyle name="Normal 6 2 2 6" xfId="10273"/>
    <cellStyle name="Normal 6 2 2 6 2" xfId="10274"/>
    <cellStyle name="Normal 6 2 2 6 2 2" xfId="10275"/>
    <cellStyle name="Normal 6 2 2 6 3" xfId="10276"/>
    <cellStyle name="Normal 6 2 2 7" xfId="10277"/>
    <cellStyle name="Normal 6 2 2 7 2" xfId="10278"/>
    <cellStyle name="Normal 6 2 2 8" xfId="10279"/>
    <cellStyle name="Normal 6 2 2 9" xfId="10280"/>
    <cellStyle name="Normal 6 2 3" xfId="10281"/>
    <cellStyle name="Normal 6 2 3 2" xfId="10282"/>
    <cellStyle name="Normal 6 2 3 2 2" xfId="10283"/>
    <cellStyle name="Normal 6 2 3 2 2 2" xfId="10284"/>
    <cellStyle name="Normal 6 2 3 2 2 2 2" xfId="10285"/>
    <cellStyle name="Normal 6 2 3 2 2 2 2 2" xfId="10286"/>
    <cellStyle name="Normal 6 2 3 2 2 2 3" xfId="10287"/>
    <cellStyle name="Normal 6 2 3 2 2 3" xfId="10288"/>
    <cellStyle name="Normal 6 2 3 2 2 3 2" xfId="10289"/>
    <cellStyle name="Normal 6 2 3 2 2 3 2 2" xfId="10290"/>
    <cellStyle name="Normal 6 2 3 2 2 3 3" xfId="10291"/>
    <cellStyle name="Normal 6 2 3 2 2 4" xfId="10292"/>
    <cellStyle name="Normal 6 2 3 2 2 4 2" xfId="10293"/>
    <cellStyle name="Normal 6 2 3 2 2 5" xfId="10294"/>
    <cellStyle name="Normal 6 2 3 2 3" xfId="10295"/>
    <cellStyle name="Normal 6 2 3 2 3 2" xfId="10296"/>
    <cellStyle name="Normal 6 2 3 2 3 2 2" xfId="10297"/>
    <cellStyle name="Normal 6 2 3 2 3 3" xfId="10298"/>
    <cellStyle name="Normal 6 2 3 2 4" xfId="10299"/>
    <cellStyle name="Normal 6 2 3 2 4 2" xfId="10300"/>
    <cellStyle name="Normal 6 2 3 2 4 2 2" xfId="10301"/>
    <cellStyle name="Normal 6 2 3 2 4 3" xfId="10302"/>
    <cellStyle name="Normal 6 2 3 2 5" xfId="10303"/>
    <cellStyle name="Normal 6 2 3 2 5 2" xfId="10304"/>
    <cellStyle name="Normal 6 2 3 2 6" xfId="10305"/>
    <cellStyle name="Normal 6 2 3 3" xfId="10306"/>
    <cellStyle name="Normal 6 2 3 3 2" xfId="10307"/>
    <cellStyle name="Normal 6 2 3 3 2 2" xfId="10308"/>
    <cellStyle name="Normal 6 2 3 3 2 2 2" xfId="10309"/>
    <cellStyle name="Normal 6 2 3 3 2 3" xfId="10310"/>
    <cellStyle name="Normal 6 2 3 3 3" xfId="10311"/>
    <cellStyle name="Normal 6 2 3 3 3 2" xfId="10312"/>
    <cellStyle name="Normal 6 2 3 3 3 2 2" xfId="10313"/>
    <cellStyle name="Normal 6 2 3 3 3 3" xfId="10314"/>
    <cellStyle name="Normal 6 2 3 3 4" xfId="10315"/>
    <cellStyle name="Normal 6 2 3 3 4 2" xfId="10316"/>
    <cellStyle name="Normal 6 2 3 3 5" xfId="10317"/>
    <cellStyle name="Normal 6 2 3 4" xfId="10318"/>
    <cellStyle name="Normal 6 2 3 4 2" xfId="10319"/>
    <cellStyle name="Normal 6 2 3 4 2 2" xfId="10320"/>
    <cellStyle name="Normal 6 2 3 4 3" xfId="10321"/>
    <cellStyle name="Normal 6 2 3 5" xfId="10322"/>
    <cellStyle name="Normal 6 2 3 5 2" xfId="10323"/>
    <cellStyle name="Normal 6 2 3 5 2 2" xfId="10324"/>
    <cellStyle name="Normal 6 2 3 5 3" xfId="10325"/>
    <cellStyle name="Normal 6 2 3 6" xfId="10326"/>
    <cellStyle name="Normal 6 2 3 6 2" xfId="10327"/>
    <cellStyle name="Normal 6 2 3 7" xfId="10328"/>
    <cellStyle name="Normal 6 2 4" xfId="10329"/>
    <cellStyle name="Normal 6 2 4 2" xfId="10330"/>
    <cellStyle name="Normal 6 2 4 2 2" xfId="10331"/>
    <cellStyle name="Normal 6 2 4 2 2 2" xfId="10332"/>
    <cellStyle name="Normal 6 2 4 2 2 2 2" xfId="10333"/>
    <cellStyle name="Normal 6 2 4 2 2 3" xfId="10334"/>
    <cellStyle name="Normal 6 2 4 2 3" xfId="10335"/>
    <cellStyle name="Normal 6 2 4 2 3 2" xfId="10336"/>
    <cellStyle name="Normal 6 2 4 2 3 2 2" xfId="10337"/>
    <cellStyle name="Normal 6 2 4 2 3 3" xfId="10338"/>
    <cellStyle name="Normal 6 2 4 2 4" xfId="10339"/>
    <cellStyle name="Normal 6 2 4 2 4 2" xfId="10340"/>
    <cellStyle name="Normal 6 2 4 2 5" xfId="10341"/>
    <cellStyle name="Normal 6 2 4 3" xfId="10342"/>
    <cellStyle name="Normal 6 2 4 3 2" xfId="10343"/>
    <cellStyle name="Normal 6 2 4 3 2 2" xfId="10344"/>
    <cellStyle name="Normal 6 2 4 3 3" xfId="10345"/>
    <cellStyle name="Normal 6 2 4 4" xfId="10346"/>
    <cellStyle name="Normal 6 2 4 4 2" xfId="10347"/>
    <cellStyle name="Normal 6 2 4 4 2 2" xfId="10348"/>
    <cellStyle name="Normal 6 2 4 4 3" xfId="10349"/>
    <cellStyle name="Normal 6 2 4 5" xfId="10350"/>
    <cellStyle name="Normal 6 2 4 5 2" xfId="10351"/>
    <cellStyle name="Normal 6 2 4 6" xfId="10352"/>
    <cellStyle name="Normal 6 2 5" xfId="10353"/>
    <cellStyle name="Normal 6 2 5 2" xfId="10354"/>
    <cellStyle name="Normal 6 2 5 2 2" xfId="10355"/>
    <cellStyle name="Normal 6 2 5 2 2 2" xfId="10356"/>
    <cellStyle name="Normal 6 2 5 2 3" xfId="10357"/>
    <cellStyle name="Normal 6 2 5 3" xfId="10358"/>
    <cellStyle name="Normal 6 2 5 3 2" xfId="10359"/>
    <cellStyle name="Normal 6 2 5 3 2 2" xfId="10360"/>
    <cellStyle name="Normal 6 2 5 3 3" xfId="10361"/>
    <cellStyle name="Normal 6 2 5 4" xfId="10362"/>
    <cellStyle name="Normal 6 2 5 4 2" xfId="10363"/>
    <cellStyle name="Normal 6 2 5 5" xfId="10364"/>
    <cellStyle name="Normal 6 2 6" xfId="10365"/>
    <cellStyle name="Normal 6 2 6 2" xfId="10366"/>
    <cellStyle name="Normal 6 2 6 2 2" xfId="10367"/>
    <cellStyle name="Normal 6 2 6 3" xfId="10368"/>
    <cellStyle name="Normal 6 2 7" xfId="10369"/>
    <cellStyle name="Normal 6 2 7 2" xfId="10370"/>
    <cellStyle name="Normal 6 2 7 2 2" xfId="10371"/>
    <cellStyle name="Normal 6 2 7 3" xfId="10372"/>
    <cellStyle name="Normal 6 2 8" xfId="10373"/>
    <cellStyle name="Normal 6 2 8 2" xfId="10374"/>
    <cellStyle name="Normal 6 2 9" xfId="10375"/>
    <cellStyle name="Normal 6 3" xfId="10376"/>
    <cellStyle name="Normal 6 3 10" xfId="10377"/>
    <cellStyle name="Normal 6 3 2" xfId="10378"/>
    <cellStyle name="Normal 6 3 2 2" xfId="10379"/>
    <cellStyle name="Normal 6 3 2 2 2" xfId="10380"/>
    <cellStyle name="Normal 6 3 2 2 2 2" xfId="10381"/>
    <cellStyle name="Normal 6 3 2 2 2 2 2" xfId="10382"/>
    <cellStyle name="Normal 6 3 2 2 2 2 2 2" xfId="10383"/>
    <cellStyle name="Normal 6 3 2 2 2 2 3" xfId="10384"/>
    <cellStyle name="Normal 6 3 2 2 2 3" xfId="10385"/>
    <cellStyle name="Normal 6 3 2 2 2 3 2" xfId="10386"/>
    <cellStyle name="Normal 6 3 2 2 2 3 2 2" xfId="10387"/>
    <cellStyle name="Normal 6 3 2 2 2 3 3" xfId="10388"/>
    <cellStyle name="Normal 6 3 2 2 2 4" xfId="10389"/>
    <cellStyle name="Normal 6 3 2 2 2 4 2" xfId="10390"/>
    <cellStyle name="Normal 6 3 2 2 2 5" xfId="10391"/>
    <cellStyle name="Normal 6 3 2 2 3" xfId="10392"/>
    <cellStyle name="Normal 6 3 2 2 3 2" xfId="10393"/>
    <cellStyle name="Normal 6 3 2 2 3 2 2" xfId="10394"/>
    <cellStyle name="Normal 6 3 2 2 3 3" xfId="10395"/>
    <cellStyle name="Normal 6 3 2 2 4" xfId="10396"/>
    <cellStyle name="Normal 6 3 2 2 4 2" xfId="10397"/>
    <cellStyle name="Normal 6 3 2 2 4 2 2" xfId="10398"/>
    <cellStyle name="Normal 6 3 2 2 4 3" xfId="10399"/>
    <cellStyle name="Normal 6 3 2 2 5" xfId="10400"/>
    <cellStyle name="Normal 6 3 2 2 5 2" xfId="10401"/>
    <cellStyle name="Normal 6 3 2 2 6" xfId="10402"/>
    <cellStyle name="Normal 6 3 2 3" xfId="10403"/>
    <cellStyle name="Normal 6 3 2 3 2" xfId="10404"/>
    <cellStyle name="Normal 6 3 2 3 2 2" xfId="10405"/>
    <cellStyle name="Normal 6 3 2 3 2 2 2" xfId="10406"/>
    <cellStyle name="Normal 6 3 2 3 2 3" xfId="10407"/>
    <cellStyle name="Normal 6 3 2 3 3" xfId="10408"/>
    <cellStyle name="Normal 6 3 2 3 3 2" xfId="10409"/>
    <cellStyle name="Normal 6 3 2 3 3 2 2" xfId="10410"/>
    <cellStyle name="Normal 6 3 2 3 3 3" xfId="10411"/>
    <cellStyle name="Normal 6 3 2 3 4" xfId="10412"/>
    <cellStyle name="Normal 6 3 2 3 4 2" xfId="10413"/>
    <cellStyle name="Normal 6 3 2 3 5" xfId="10414"/>
    <cellStyle name="Normal 6 3 2 4" xfId="10415"/>
    <cellStyle name="Normal 6 3 2 4 2" xfId="10416"/>
    <cellStyle name="Normal 6 3 2 4 2 2" xfId="10417"/>
    <cellStyle name="Normal 6 3 2 4 3" xfId="10418"/>
    <cellStyle name="Normal 6 3 2 5" xfId="10419"/>
    <cellStyle name="Normal 6 3 2 5 2" xfId="10420"/>
    <cellStyle name="Normal 6 3 2 5 2 2" xfId="10421"/>
    <cellStyle name="Normal 6 3 2 5 3" xfId="10422"/>
    <cellStyle name="Normal 6 3 2 6" xfId="10423"/>
    <cellStyle name="Normal 6 3 2 6 2" xfId="10424"/>
    <cellStyle name="Normal 6 3 2 7" xfId="10425"/>
    <cellStyle name="Normal 6 3 2 8" xfId="10426"/>
    <cellStyle name="Normal 6 3 3" xfId="10427"/>
    <cellStyle name="Normal 6 3 3 2" xfId="10428"/>
    <cellStyle name="Normal 6 3 3 2 2" xfId="10429"/>
    <cellStyle name="Normal 6 3 3 2 2 2" xfId="10430"/>
    <cellStyle name="Normal 6 3 3 2 2 2 2" xfId="10431"/>
    <cellStyle name="Normal 6 3 3 2 2 3" xfId="10432"/>
    <cellStyle name="Normal 6 3 3 2 3" xfId="10433"/>
    <cellStyle name="Normal 6 3 3 2 3 2" xfId="10434"/>
    <cellStyle name="Normal 6 3 3 2 3 2 2" xfId="10435"/>
    <cellStyle name="Normal 6 3 3 2 3 3" xfId="10436"/>
    <cellStyle name="Normal 6 3 3 2 4" xfId="10437"/>
    <cellStyle name="Normal 6 3 3 2 4 2" xfId="10438"/>
    <cellStyle name="Normal 6 3 3 2 5" xfId="10439"/>
    <cellStyle name="Normal 6 3 3 3" xfId="10440"/>
    <cellStyle name="Normal 6 3 3 3 2" xfId="10441"/>
    <cellStyle name="Normal 6 3 3 3 2 2" xfId="10442"/>
    <cellStyle name="Normal 6 3 3 3 3" xfId="10443"/>
    <cellStyle name="Normal 6 3 3 4" xfId="10444"/>
    <cellStyle name="Normal 6 3 3 4 2" xfId="10445"/>
    <cellStyle name="Normal 6 3 3 4 2 2" xfId="10446"/>
    <cellStyle name="Normal 6 3 3 4 3" xfId="10447"/>
    <cellStyle name="Normal 6 3 3 5" xfId="10448"/>
    <cellStyle name="Normal 6 3 3 5 2" xfId="10449"/>
    <cellStyle name="Normal 6 3 3 6" xfId="10450"/>
    <cellStyle name="Normal 6 3 4" xfId="10451"/>
    <cellStyle name="Normal 6 3 4 2" xfId="10452"/>
    <cellStyle name="Normal 6 3 4 2 2" xfId="10453"/>
    <cellStyle name="Normal 6 3 4 2 2 2" xfId="10454"/>
    <cellStyle name="Normal 6 3 4 2 3" xfId="10455"/>
    <cellStyle name="Normal 6 3 4 3" xfId="10456"/>
    <cellStyle name="Normal 6 3 4 3 2" xfId="10457"/>
    <cellStyle name="Normal 6 3 4 3 2 2" xfId="10458"/>
    <cellStyle name="Normal 6 3 4 3 3" xfId="10459"/>
    <cellStyle name="Normal 6 3 4 4" xfId="10460"/>
    <cellStyle name="Normal 6 3 4 4 2" xfId="10461"/>
    <cellStyle name="Normal 6 3 4 5" xfId="10462"/>
    <cellStyle name="Normal 6 3 5" xfId="10463"/>
    <cellStyle name="Normal 6 3 5 2" xfId="10464"/>
    <cellStyle name="Normal 6 3 5 2 2" xfId="10465"/>
    <cellStyle name="Normal 6 3 5 3" xfId="10466"/>
    <cellStyle name="Normal 6 3 6" xfId="10467"/>
    <cellStyle name="Normal 6 3 6 2" xfId="10468"/>
    <cellStyle name="Normal 6 3 6 2 2" xfId="10469"/>
    <cellStyle name="Normal 6 3 6 3" xfId="10470"/>
    <cellStyle name="Normal 6 3 7" xfId="10471"/>
    <cellStyle name="Normal 6 3 7 2" xfId="10472"/>
    <cellStyle name="Normal 6 3 8" xfId="10473"/>
    <cellStyle name="Normal 6 3 8 2" xfId="10474"/>
    <cellStyle name="Normal 6 3 9" xfId="10475"/>
    <cellStyle name="Normal 6 4" xfId="10476"/>
    <cellStyle name="Normal 6 4 2" xfId="10477"/>
    <cellStyle name="Normal 6 4 2 2" xfId="10478"/>
    <cellStyle name="Normal 6 4 2 2 2" xfId="10479"/>
    <cellStyle name="Normal 6 4 2 2 2 2" xfId="10480"/>
    <cellStyle name="Normal 6 4 2 2 2 2 2" xfId="10481"/>
    <cellStyle name="Normal 6 4 2 2 2 2 2 2" xfId="10482"/>
    <cellStyle name="Normal 6 4 2 2 2 2 3" xfId="10483"/>
    <cellStyle name="Normal 6 4 2 2 2 3" xfId="10484"/>
    <cellStyle name="Normal 6 4 2 2 2 3 2" xfId="10485"/>
    <cellStyle name="Normal 6 4 2 2 2 3 2 2" xfId="10486"/>
    <cellStyle name="Normal 6 4 2 2 2 3 3" xfId="10487"/>
    <cellStyle name="Normal 6 4 2 2 2 4" xfId="10488"/>
    <cellStyle name="Normal 6 4 2 2 2 4 2" xfId="10489"/>
    <cellStyle name="Normal 6 4 2 2 2 5" xfId="10490"/>
    <cellStyle name="Normal 6 4 2 2 3" xfId="10491"/>
    <cellStyle name="Normal 6 4 2 2 3 2" xfId="10492"/>
    <cellStyle name="Normal 6 4 2 2 3 2 2" xfId="10493"/>
    <cellStyle name="Normal 6 4 2 2 3 3" xfId="10494"/>
    <cellStyle name="Normal 6 4 2 2 4" xfId="10495"/>
    <cellStyle name="Normal 6 4 2 2 4 2" xfId="10496"/>
    <cellStyle name="Normal 6 4 2 2 4 2 2" xfId="10497"/>
    <cellStyle name="Normal 6 4 2 2 4 3" xfId="10498"/>
    <cellStyle name="Normal 6 4 2 2 5" xfId="10499"/>
    <cellStyle name="Normal 6 4 2 2 5 2" xfId="10500"/>
    <cellStyle name="Normal 6 4 2 2 6" xfId="10501"/>
    <cellStyle name="Normal 6 4 2 3" xfId="10502"/>
    <cellStyle name="Normal 6 4 2 3 2" xfId="10503"/>
    <cellStyle name="Normal 6 4 2 3 2 2" xfId="10504"/>
    <cellStyle name="Normal 6 4 2 3 2 2 2" xfId="10505"/>
    <cellStyle name="Normal 6 4 2 3 2 3" xfId="10506"/>
    <cellStyle name="Normal 6 4 2 3 3" xfId="10507"/>
    <cellStyle name="Normal 6 4 2 3 3 2" xfId="10508"/>
    <cellStyle name="Normal 6 4 2 3 3 2 2" xfId="10509"/>
    <cellStyle name="Normal 6 4 2 3 3 3" xfId="10510"/>
    <cellStyle name="Normal 6 4 2 3 4" xfId="10511"/>
    <cellStyle name="Normal 6 4 2 3 4 2" xfId="10512"/>
    <cellStyle name="Normal 6 4 2 3 5" xfId="10513"/>
    <cellStyle name="Normal 6 4 2 4" xfId="10514"/>
    <cellStyle name="Normal 6 4 2 4 2" xfId="10515"/>
    <cellStyle name="Normal 6 4 2 4 2 2" xfId="10516"/>
    <cellStyle name="Normal 6 4 2 4 3" xfId="10517"/>
    <cellStyle name="Normal 6 4 2 5" xfId="10518"/>
    <cellStyle name="Normal 6 4 2 5 2" xfId="10519"/>
    <cellStyle name="Normal 6 4 2 5 2 2" xfId="10520"/>
    <cellStyle name="Normal 6 4 2 5 3" xfId="10521"/>
    <cellStyle name="Normal 6 4 2 6" xfId="10522"/>
    <cellStyle name="Normal 6 4 2 6 2" xfId="10523"/>
    <cellStyle name="Normal 6 4 2 7" xfId="10524"/>
    <cellStyle name="Normal 6 4 3" xfId="10525"/>
    <cellStyle name="Normal 6 4 3 2" xfId="10526"/>
    <cellStyle name="Normal 6 4 3 2 2" xfId="10527"/>
    <cellStyle name="Normal 6 4 3 2 2 2" xfId="10528"/>
    <cellStyle name="Normal 6 4 3 2 2 2 2" xfId="10529"/>
    <cellStyle name="Normal 6 4 3 2 2 3" xfId="10530"/>
    <cellStyle name="Normal 6 4 3 2 3" xfId="10531"/>
    <cellStyle name="Normal 6 4 3 2 3 2" xfId="10532"/>
    <cellStyle name="Normal 6 4 3 2 3 2 2" xfId="10533"/>
    <cellStyle name="Normal 6 4 3 2 3 3" xfId="10534"/>
    <cellStyle name="Normal 6 4 3 2 4" xfId="10535"/>
    <cellStyle name="Normal 6 4 3 2 4 2" xfId="10536"/>
    <cellStyle name="Normal 6 4 3 2 5" xfId="10537"/>
    <cellStyle name="Normal 6 4 3 3" xfId="10538"/>
    <cellStyle name="Normal 6 4 3 3 2" xfId="10539"/>
    <cellStyle name="Normal 6 4 3 3 2 2" xfId="10540"/>
    <cellStyle name="Normal 6 4 3 3 3" xfId="10541"/>
    <cellStyle name="Normal 6 4 3 4" xfId="10542"/>
    <cellStyle name="Normal 6 4 3 4 2" xfId="10543"/>
    <cellStyle name="Normal 6 4 3 4 2 2" xfId="10544"/>
    <cellStyle name="Normal 6 4 3 4 3" xfId="10545"/>
    <cellStyle name="Normal 6 4 3 5" xfId="10546"/>
    <cellStyle name="Normal 6 4 3 5 2" xfId="10547"/>
    <cellStyle name="Normal 6 4 3 6" xfId="10548"/>
    <cellStyle name="Normal 6 4 4" xfId="10549"/>
    <cellStyle name="Normal 6 4 4 2" xfId="10550"/>
    <cellStyle name="Normal 6 4 4 2 2" xfId="10551"/>
    <cellStyle name="Normal 6 4 4 2 2 2" xfId="10552"/>
    <cellStyle name="Normal 6 4 4 2 3" xfId="10553"/>
    <cellStyle name="Normal 6 4 4 3" xfId="10554"/>
    <cellStyle name="Normal 6 4 4 3 2" xfId="10555"/>
    <cellStyle name="Normal 6 4 4 3 2 2" xfId="10556"/>
    <cellStyle name="Normal 6 4 4 3 3" xfId="10557"/>
    <cellStyle name="Normal 6 4 4 4" xfId="10558"/>
    <cellStyle name="Normal 6 4 4 4 2" xfId="10559"/>
    <cellStyle name="Normal 6 4 4 5" xfId="10560"/>
    <cellStyle name="Normal 6 4 5" xfId="10561"/>
    <cellStyle name="Normal 6 4 5 2" xfId="10562"/>
    <cellStyle name="Normal 6 4 5 2 2" xfId="10563"/>
    <cellStyle name="Normal 6 4 5 3" xfId="10564"/>
    <cellStyle name="Normal 6 4 6" xfId="10565"/>
    <cellStyle name="Normal 6 4 6 2" xfId="10566"/>
    <cellStyle name="Normal 6 4 6 2 2" xfId="10567"/>
    <cellStyle name="Normal 6 4 6 3" xfId="10568"/>
    <cellStyle name="Normal 6 4 7" xfId="10569"/>
    <cellStyle name="Normal 6 4 7 2" xfId="10570"/>
    <cellStyle name="Normal 6 4 8" xfId="10571"/>
    <cellStyle name="Normal 6 4 9" xfId="10572"/>
    <cellStyle name="Normal 6 5" xfId="10573"/>
    <cellStyle name="Normal 6 5 2" xfId="10574"/>
    <cellStyle name="Normal 6 5 2 2" xfId="10575"/>
    <cellStyle name="Normal 6 5 2 2 2" xfId="10576"/>
    <cellStyle name="Normal 6 5 2 2 2 2" xfId="10577"/>
    <cellStyle name="Normal 6 5 2 2 2 2 2" xfId="10578"/>
    <cellStyle name="Normal 6 5 2 2 2 3" xfId="10579"/>
    <cellStyle name="Normal 6 5 2 2 3" xfId="10580"/>
    <cellStyle name="Normal 6 5 2 2 3 2" xfId="10581"/>
    <cellStyle name="Normal 6 5 2 2 3 2 2" xfId="10582"/>
    <cellStyle name="Normal 6 5 2 2 3 3" xfId="10583"/>
    <cellStyle name="Normal 6 5 2 2 4" xfId="10584"/>
    <cellStyle name="Normal 6 5 2 2 4 2" xfId="10585"/>
    <cellStyle name="Normal 6 5 2 2 5" xfId="10586"/>
    <cellStyle name="Normal 6 5 2 3" xfId="10587"/>
    <cellStyle name="Normal 6 5 2 3 2" xfId="10588"/>
    <cellStyle name="Normal 6 5 2 3 2 2" xfId="10589"/>
    <cellStyle name="Normal 6 5 2 3 3" xfId="10590"/>
    <cellStyle name="Normal 6 5 2 4" xfId="10591"/>
    <cellStyle name="Normal 6 5 2 4 2" xfId="10592"/>
    <cellStyle name="Normal 6 5 2 4 2 2" xfId="10593"/>
    <cellStyle name="Normal 6 5 2 4 3" xfId="10594"/>
    <cellStyle name="Normal 6 5 2 5" xfId="10595"/>
    <cellStyle name="Normal 6 5 2 5 2" xfId="10596"/>
    <cellStyle name="Normal 6 5 2 6" xfId="10597"/>
    <cellStyle name="Normal 6 5 3" xfId="10598"/>
    <cellStyle name="Normal 6 5 3 2" xfId="10599"/>
    <cellStyle name="Normal 6 5 3 2 2" xfId="10600"/>
    <cellStyle name="Normal 6 5 3 2 2 2" xfId="10601"/>
    <cellStyle name="Normal 6 5 3 2 3" xfId="10602"/>
    <cellStyle name="Normal 6 5 3 3" xfId="10603"/>
    <cellStyle name="Normal 6 5 3 3 2" xfId="10604"/>
    <cellStyle name="Normal 6 5 3 3 2 2" xfId="10605"/>
    <cellStyle name="Normal 6 5 3 3 3" xfId="10606"/>
    <cellStyle name="Normal 6 5 3 4" xfId="10607"/>
    <cellStyle name="Normal 6 5 3 4 2" xfId="10608"/>
    <cellStyle name="Normal 6 5 3 5" xfId="10609"/>
    <cellStyle name="Normal 6 5 4" xfId="10610"/>
    <cellStyle name="Normal 6 5 4 2" xfId="10611"/>
    <cellStyle name="Normal 6 5 4 2 2" xfId="10612"/>
    <cellStyle name="Normal 6 5 4 3" xfId="10613"/>
    <cellStyle name="Normal 6 5 5" xfId="10614"/>
    <cellStyle name="Normal 6 5 5 2" xfId="10615"/>
    <cellStyle name="Normal 6 5 5 2 2" xfId="10616"/>
    <cellStyle name="Normal 6 5 5 3" xfId="10617"/>
    <cellStyle name="Normal 6 5 6" xfId="10618"/>
    <cellStyle name="Normal 6 5 6 2" xfId="10619"/>
    <cellStyle name="Normal 6 5 7" xfId="10620"/>
    <cellStyle name="Normal 6 6" xfId="10621"/>
    <cellStyle name="Normal 6 6 2" xfId="10622"/>
    <cellStyle name="Normal 6 6 2 2" xfId="10623"/>
    <cellStyle name="Normal 6 6 2 2 2" xfId="10624"/>
    <cellStyle name="Normal 6 6 2 2 2 2" xfId="10625"/>
    <cellStyle name="Normal 6 6 2 2 3" xfId="10626"/>
    <cellStyle name="Normal 6 6 2 3" xfId="10627"/>
    <cellStyle name="Normal 6 6 2 3 2" xfId="10628"/>
    <cellStyle name="Normal 6 6 2 3 2 2" xfId="10629"/>
    <cellStyle name="Normal 6 6 2 3 3" xfId="10630"/>
    <cellStyle name="Normal 6 6 2 4" xfId="10631"/>
    <cellStyle name="Normal 6 6 2 4 2" xfId="10632"/>
    <cellStyle name="Normal 6 6 2 5" xfId="10633"/>
    <cellStyle name="Normal 6 6 3" xfId="10634"/>
    <cellStyle name="Normal 6 6 3 2" xfId="10635"/>
    <cellStyle name="Normal 6 6 3 2 2" xfId="10636"/>
    <cellStyle name="Normal 6 6 3 3" xfId="10637"/>
    <cellStyle name="Normal 6 6 4" xfId="10638"/>
    <cellStyle name="Normal 6 6 4 2" xfId="10639"/>
    <cellStyle name="Normal 6 6 4 2 2" xfId="10640"/>
    <cellStyle name="Normal 6 6 4 3" xfId="10641"/>
    <cellStyle name="Normal 6 6 5" xfId="10642"/>
    <cellStyle name="Normal 6 6 5 2" xfId="10643"/>
    <cellStyle name="Normal 6 6 6" xfId="10644"/>
    <cellStyle name="Normal 6 7" xfId="10645"/>
    <cellStyle name="Normal 6 7 2" xfId="10646"/>
    <cellStyle name="Normal 6 7 2 2" xfId="10647"/>
    <cellStyle name="Normal 6 7 2 2 2" xfId="10648"/>
    <cellStyle name="Normal 6 7 2 3" xfId="10649"/>
    <cellStyle name="Normal 6 7 3" xfId="10650"/>
    <cellStyle name="Normal 6 7 3 2" xfId="10651"/>
    <cellStyle name="Normal 6 7 3 2 2" xfId="10652"/>
    <cellStyle name="Normal 6 7 3 3" xfId="10653"/>
    <cellStyle name="Normal 6 7 4" xfId="10654"/>
    <cellStyle name="Normal 6 7 4 2" xfId="10655"/>
    <cellStyle name="Normal 6 7 5" xfId="10656"/>
    <cellStyle name="Normal 6 8" xfId="10657"/>
    <cellStyle name="Normal 6 8 2" xfId="10658"/>
    <cellStyle name="Normal 6 8 2 2" xfId="10659"/>
    <cellStyle name="Normal 6 8 3" xfId="10660"/>
    <cellStyle name="Normal 6 9" xfId="10661"/>
    <cellStyle name="Normal 6 9 2" xfId="10662"/>
    <cellStyle name="Normal 6 9 2 2" xfId="10663"/>
    <cellStyle name="Normal 6 9 3" xfId="10664"/>
    <cellStyle name="Normal 6_2180" xfId="10665"/>
    <cellStyle name="Normal 60" xfId="10666"/>
    <cellStyle name="Normal 60 2" xfId="10667"/>
    <cellStyle name="Normal 60 2 2" xfId="10668"/>
    <cellStyle name="Normal 60 2 2 2" xfId="10669"/>
    <cellStyle name="Normal 60 2 2 2 2" xfId="10670"/>
    <cellStyle name="Normal 60 2 2 2 2 2" xfId="10671"/>
    <cellStyle name="Normal 60 2 2 2 2 2 2" xfId="10672"/>
    <cellStyle name="Normal 60 2 2 2 2 3" xfId="10673"/>
    <cellStyle name="Normal 60 2 2 2 3" xfId="10674"/>
    <cellStyle name="Normal 60 2 2 2 3 2" xfId="10675"/>
    <cellStyle name="Normal 60 2 2 2 3 2 2" xfId="10676"/>
    <cellStyle name="Normal 60 2 2 2 3 3" xfId="10677"/>
    <cellStyle name="Normal 60 2 2 2 4" xfId="10678"/>
    <cellStyle name="Normal 60 2 2 2 4 2" xfId="10679"/>
    <cellStyle name="Normal 60 2 2 2 5" xfId="10680"/>
    <cellStyle name="Normal 60 2 2 3" xfId="10681"/>
    <cellStyle name="Normal 60 2 2 3 2" xfId="10682"/>
    <cellStyle name="Normal 60 2 2 3 2 2" xfId="10683"/>
    <cellStyle name="Normal 60 2 2 3 3" xfId="10684"/>
    <cellStyle name="Normal 60 2 2 4" xfId="10685"/>
    <cellStyle name="Normal 60 2 2 4 2" xfId="10686"/>
    <cellStyle name="Normal 60 2 2 4 2 2" xfId="10687"/>
    <cellStyle name="Normal 60 2 2 4 3" xfId="10688"/>
    <cellStyle name="Normal 60 2 2 5" xfId="10689"/>
    <cellStyle name="Normal 60 2 2 5 2" xfId="10690"/>
    <cellStyle name="Normal 60 2 2 6" xfId="10691"/>
    <cellStyle name="Normal 60 2 3" xfId="10692"/>
    <cellStyle name="Normal 60 2 3 2" xfId="10693"/>
    <cellStyle name="Normal 60 2 3 2 2" xfId="10694"/>
    <cellStyle name="Normal 60 2 3 2 2 2" xfId="10695"/>
    <cellStyle name="Normal 60 2 3 2 3" xfId="10696"/>
    <cellStyle name="Normal 60 2 3 3" xfId="10697"/>
    <cellStyle name="Normal 60 2 3 3 2" xfId="10698"/>
    <cellStyle name="Normal 60 2 3 3 2 2" xfId="10699"/>
    <cellStyle name="Normal 60 2 3 3 3" xfId="10700"/>
    <cellStyle name="Normal 60 2 3 4" xfId="10701"/>
    <cellStyle name="Normal 60 2 3 4 2" xfId="10702"/>
    <cellStyle name="Normal 60 2 3 5" xfId="10703"/>
    <cellStyle name="Normal 60 2 4" xfId="10704"/>
    <cellStyle name="Normal 60 2 4 2" xfId="10705"/>
    <cellStyle name="Normal 60 2 4 2 2" xfId="10706"/>
    <cellStyle name="Normal 60 2 4 3" xfId="10707"/>
    <cellStyle name="Normal 60 2 5" xfId="10708"/>
    <cellStyle name="Normal 60 2 5 2" xfId="10709"/>
    <cellStyle name="Normal 60 2 5 2 2" xfId="10710"/>
    <cellStyle name="Normal 60 2 5 3" xfId="10711"/>
    <cellStyle name="Normal 60 2 6" xfId="10712"/>
    <cellStyle name="Normal 60 2 6 2" xfId="10713"/>
    <cellStyle name="Normal 60 2 7" xfId="10714"/>
    <cellStyle name="Normal 60 3" xfId="10715"/>
    <cellStyle name="Normal 60 3 2" xfId="10716"/>
    <cellStyle name="Normal 60 3 2 2" xfId="10717"/>
    <cellStyle name="Normal 60 3 2 2 2" xfId="10718"/>
    <cellStyle name="Normal 60 3 2 2 2 2" xfId="10719"/>
    <cellStyle name="Normal 60 3 2 2 3" xfId="10720"/>
    <cellStyle name="Normal 60 3 2 3" xfId="10721"/>
    <cellStyle name="Normal 60 3 2 3 2" xfId="10722"/>
    <cellStyle name="Normal 60 3 2 3 2 2" xfId="10723"/>
    <cellStyle name="Normal 60 3 2 3 3" xfId="10724"/>
    <cellStyle name="Normal 60 3 2 4" xfId="10725"/>
    <cellStyle name="Normal 60 3 2 4 2" xfId="10726"/>
    <cellStyle name="Normal 60 3 2 5" xfId="10727"/>
    <cellStyle name="Normal 60 3 3" xfId="10728"/>
    <cellStyle name="Normal 60 3 3 2" xfId="10729"/>
    <cellStyle name="Normal 60 3 3 2 2" xfId="10730"/>
    <cellStyle name="Normal 60 3 3 3" xfId="10731"/>
    <cellStyle name="Normal 60 3 4" xfId="10732"/>
    <cellStyle name="Normal 60 3 4 2" xfId="10733"/>
    <cellStyle name="Normal 60 3 4 2 2" xfId="10734"/>
    <cellStyle name="Normal 60 3 4 3" xfId="10735"/>
    <cellStyle name="Normal 60 3 5" xfId="10736"/>
    <cellStyle name="Normal 60 3 5 2" xfId="10737"/>
    <cellStyle name="Normal 60 3 6" xfId="10738"/>
    <cellStyle name="Normal 60 4" xfId="10739"/>
    <cellStyle name="Normal 60 4 2" xfId="10740"/>
    <cellStyle name="Normal 60 4 2 2" xfId="10741"/>
    <cellStyle name="Normal 60 4 2 2 2" xfId="10742"/>
    <cellStyle name="Normal 60 4 2 3" xfId="10743"/>
    <cellStyle name="Normal 60 4 3" xfId="10744"/>
    <cellStyle name="Normal 60 4 3 2" xfId="10745"/>
    <cellStyle name="Normal 60 4 3 2 2" xfId="10746"/>
    <cellStyle name="Normal 60 4 3 3" xfId="10747"/>
    <cellStyle name="Normal 60 4 4" xfId="10748"/>
    <cellStyle name="Normal 60 4 4 2" xfId="10749"/>
    <cellStyle name="Normal 60 4 5" xfId="10750"/>
    <cellStyle name="Normal 60 5" xfId="10751"/>
    <cellStyle name="Normal 60 5 2" xfId="10752"/>
    <cellStyle name="Normal 60 5 2 2" xfId="10753"/>
    <cellStyle name="Normal 60 5 3" xfId="10754"/>
    <cellStyle name="Normal 60 6" xfId="10755"/>
    <cellStyle name="Normal 60 6 2" xfId="10756"/>
    <cellStyle name="Normal 60 6 2 2" xfId="10757"/>
    <cellStyle name="Normal 60 6 3" xfId="10758"/>
    <cellStyle name="Normal 60 7" xfId="10759"/>
    <cellStyle name="Normal 60 7 2" xfId="10760"/>
    <cellStyle name="Normal 60 8" xfId="10761"/>
    <cellStyle name="Normal 60 9" xfId="10762"/>
    <cellStyle name="Normal 61" xfId="10763"/>
    <cellStyle name="Normal 61 2" xfId="10764"/>
    <cellStyle name="Normal 61 2 2" xfId="10765"/>
    <cellStyle name="Normal 61 2 2 2" xfId="10766"/>
    <cellStyle name="Normal 61 2 2 2 2" xfId="10767"/>
    <cellStyle name="Normal 61 2 2 2 2 2" xfId="10768"/>
    <cellStyle name="Normal 61 2 2 2 2 2 2" xfId="10769"/>
    <cellStyle name="Normal 61 2 2 2 2 3" xfId="10770"/>
    <cellStyle name="Normal 61 2 2 2 3" xfId="10771"/>
    <cellStyle name="Normal 61 2 2 2 3 2" xfId="10772"/>
    <cellStyle name="Normal 61 2 2 2 3 2 2" xfId="10773"/>
    <cellStyle name="Normal 61 2 2 2 3 3" xfId="10774"/>
    <cellStyle name="Normal 61 2 2 2 4" xfId="10775"/>
    <cellStyle name="Normal 61 2 2 2 4 2" xfId="10776"/>
    <cellStyle name="Normal 61 2 2 2 5" xfId="10777"/>
    <cellStyle name="Normal 61 2 2 3" xfId="10778"/>
    <cellStyle name="Normal 61 2 2 3 2" xfId="10779"/>
    <cellStyle name="Normal 61 2 2 3 2 2" xfId="10780"/>
    <cellStyle name="Normal 61 2 2 3 3" xfId="10781"/>
    <cellStyle name="Normal 61 2 2 4" xfId="10782"/>
    <cellStyle name="Normal 61 2 2 4 2" xfId="10783"/>
    <cellStyle name="Normal 61 2 2 4 2 2" xfId="10784"/>
    <cellStyle name="Normal 61 2 2 4 3" xfId="10785"/>
    <cellStyle name="Normal 61 2 2 5" xfId="10786"/>
    <cellStyle name="Normal 61 2 2 5 2" xfId="10787"/>
    <cellStyle name="Normal 61 2 2 6" xfId="10788"/>
    <cellStyle name="Normal 61 2 3" xfId="10789"/>
    <cellStyle name="Normal 61 2 3 2" xfId="10790"/>
    <cellStyle name="Normal 61 2 3 2 2" xfId="10791"/>
    <cellStyle name="Normal 61 2 3 2 2 2" xfId="10792"/>
    <cellStyle name="Normal 61 2 3 2 3" xfId="10793"/>
    <cellStyle name="Normal 61 2 3 3" xfId="10794"/>
    <cellStyle name="Normal 61 2 3 3 2" xfId="10795"/>
    <cellStyle name="Normal 61 2 3 3 2 2" xfId="10796"/>
    <cellStyle name="Normal 61 2 3 3 3" xfId="10797"/>
    <cellStyle name="Normal 61 2 3 4" xfId="10798"/>
    <cellStyle name="Normal 61 2 3 4 2" xfId="10799"/>
    <cellStyle name="Normal 61 2 3 5" xfId="10800"/>
    <cellStyle name="Normal 61 2 4" xfId="10801"/>
    <cellStyle name="Normal 61 2 4 2" xfId="10802"/>
    <cellStyle name="Normal 61 2 4 2 2" xfId="10803"/>
    <cellStyle name="Normal 61 2 4 3" xfId="10804"/>
    <cellStyle name="Normal 61 2 5" xfId="10805"/>
    <cellStyle name="Normal 61 2 5 2" xfId="10806"/>
    <cellStyle name="Normal 61 2 5 2 2" xfId="10807"/>
    <cellStyle name="Normal 61 2 5 3" xfId="10808"/>
    <cellStyle name="Normal 61 2 6" xfId="10809"/>
    <cellStyle name="Normal 61 2 6 2" xfId="10810"/>
    <cellStyle name="Normal 61 2 7" xfId="10811"/>
    <cellStyle name="Normal 61 3" xfId="10812"/>
    <cellStyle name="Normal 61 3 2" xfId="10813"/>
    <cellStyle name="Normal 61 3 2 2" xfId="10814"/>
    <cellStyle name="Normal 61 3 2 2 2" xfId="10815"/>
    <cellStyle name="Normal 61 3 2 2 2 2" xfId="10816"/>
    <cellStyle name="Normal 61 3 2 2 3" xfId="10817"/>
    <cellStyle name="Normal 61 3 2 3" xfId="10818"/>
    <cellStyle name="Normal 61 3 2 3 2" xfId="10819"/>
    <cellStyle name="Normal 61 3 2 3 2 2" xfId="10820"/>
    <cellStyle name="Normal 61 3 2 3 3" xfId="10821"/>
    <cellStyle name="Normal 61 3 2 4" xfId="10822"/>
    <cellStyle name="Normal 61 3 2 4 2" xfId="10823"/>
    <cellStyle name="Normal 61 3 2 5" xfId="10824"/>
    <cellStyle name="Normal 61 3 3" xfId="10825"/>
    <cellStyle name="Normal 61 3 3 2" xfId="10826"/>
    <cellStyle name="Normal 61 3 3 2 2" xfId="10827"/>
    <cellStyle name="Normal 61 3 3 3" xfId="10828"/>
    <cellStyle name="Normal 61 3 4" xfId="10829"/>
    <cellStyle name="Normal 61 3 4 2" xfId="10830"/>
    <cellStyle name="Normal 61 3 4 2 2" xfId="10831"/>
    <cellStyle name="Normal 61 3 4 3" xfId="10832"/>
    <cellStyle name="Normal 61 3 5" xfId="10833"/>
    <cellStyle name="Normal 61 3 5 2" xfId="10834"/>
    <cellStyle name="Normal 61 3 6" xfId="10835"/>
    <cellStyle name="Normal 61 4" xfId="10836"/>
    <cellStyle name="Normal 61 4 2" xfId="10837"/>
    <cellStyle name="Normal 61 4 2 2" xfId="10838"/>
    <cellStyle name="Normal 61 4 2 2 2" xfId="10839"/>
    <cellStyle name="Normal 61 4 2 3" xfId="10840"/>
    <cellStyle name="Normal 61 4 3" xfId="10841"/>
    <cellStyle name="Normal 61 4 3 2" xfId="10842"/>
    <cellStyle name="Normal 61 4 3 2 2" xfId="10843"/>
    <cellStyle name="Normal 61 4 3 3" xfId="10844"/>
    <cellStyle name="Normal 61 4 4" xfId="10845"/>
    <cellStyle name="Normal 61 4 4 2" xfId="10846"/>
    <cellStyle name="Normal 61 4 5" xfId="10847"/>
    <cellStyle name="Normal 61 5" xfId="10848"/>
    <cellStyle name="Normal 61 5 2" xfId="10849"/>
    <cellStyle name="Normal 61 5 2 2" xfId="10850"/>
    <cellStyle name="Normal 61 5 3" xfId="10851"/>
    <cellStyle name="Normal 61 6" xfId="10852"/>
    <cellStyle name="Normal 61 6 2" xfId="10853"/>
    <cellStyle name="Normal 61 6 2 2" xfId="10854"/>
    <cellStyle name="Normal 61 6 3" xfId="10855"/>
    <cellStyle name="Normal 61 7" xfId="10856"/>
    <cellStyle name="Normal 61 7 2" xfId="10857"/>
    <cellStyle name="Normal 61 8" xfId="10858"/>
    <cellStyle name="Normal 61 9" xfId="10859"/>
    <cellStyle name="Normal 62" xfId="10860"/>
    <cellStyle name="Normal 62 2" xfId="10861"/>
    <cellStyle name="Normal 62 2 2" xfId="10862"/>
    <cellStyle name="Normal 62 2 2 2" xfId="10863"/>
    <cellStyle name="Normal 62 2 2 2 2" xfId="10864"/>
    <cellStyle name="Normal 62 2 2 2 2 2" xfId="10865"/>
    <cellStyle name="Normal 62 2 2 2 2 2 2" xfId="10866"/>
    <cellStyle name="Normal 62 2 2 2 2 3" xfId="10867"/>
    <cellStyle name="Normal 62 2 2 2 3" xfId="10868"/>
    <cellStyle name="Normal 62 2 2 2 3 2" xfId="10869"/>
    <cellStyle name="Normal 62 2 2 2 3 2 2" xfId="10870"/>
    <cellStyle name="Normal 62 2 2 2 3 3" xfId="10871"/>
    <cellStyle name="Normal 62 2 2 2 4" xfId="10872"/>
    <cellStyle name="Normal 62 2 2 2 4 2" xfId="10873"/>
    <cellStyle name="Normal 62 2 2 2 5" xfId="10874"/>
    <cellStyle name="Normal 62 2 2 3" xfId="10875"/>
    <cellStyle name="Normal 62 2 2 3 2" xfId="10876"/>
    <cellStyle name="Normal 62 2 2 3 2 2" xfId="10877"/>
    <cellStyle name="Normal 62 2 2 3 3" xfId="10878"/>
    <cellStyle name="Normal 62 2 2 4" xfId="10879"/>
    <cellStyle name="Normal 62 2 2 4 2" xfId="10880"/>
    <cellStyle name="Normal 62 2 2 4 2 2" xfId="10881"/>
    <cellStyle name="Normal 62 2 2 4 3" xfId="10882"/>
    <cellStyle name="Normal 62 2 2 5" xfId="10883"/>
    <cellStyle name="Normal 62 2 2 5 2" xfId="10884"/>
    <cellStyle name="Normal 62 2 2 6" xfId="10885"/>
    <cellStyle name="Normal 62 2 3" xfId="10886"/>
    <cellStyle name="Normal 62 2 3 2" xfId="10887"/>
    <cellStyle name="Normal 62 2 3 2 2" xfId="10888"/>
    <cellStyle name="Normal 62 2 3 2 2 2" xfId="10889"/>
    <cellStyle name="Normal 62 2 3 2 3" xfId="10890"/>
    <cellStyle name="Normal 62 2 3 3" xfId="10891"/>
    <cellStyle name="Normal 62 2 3 3 2" xfId="10892"/>
    <cellStyle name="Normal 62 2 3 3 2 2" xfId="10893"/>
    <cellStyle name="Normal 62 2 3 3 3" xfId="10894"/>
    <cellStyle name="Normal 62 2 3 4" xfId="10895"/>
    <cellStyle name="Normal 62 2 3 4 2" xfId="10896"/>
    <cellStyle name="Normal 62 2 3 5" xfId="10897"/>
    <cellStyle name="Normal 62 2 4" xfId="10898"/>
    <cellStyle name="Normal 62 2 4 2" xfId="10899"/>
    <cellStyle name="Normal 62 2 4 2 2" xfId="10900"/>
    <cellStyle name="Normal 62 2 4 3" xfId="10901"/>
    <cellStyle name="Normal 62 2 5" xfId="10902"/>
    <cellStyle name="Normal 62 2 5 2" xfId="10903"/>
    <cellStyle name="Normal 62 2 5 2 2" xfId="10904"/>
    <cellStyle name="Normal 62 2 5 3" xfId="10905"/>
    <cellStyle name="Normal 62 2 6" xfId="10906"/>
    <cellStyle name="Normal 62 2 6 2" xfId="10907"/>
    <cellStyle name="Normal 62 2 7" xfId="10908"/>
    <cellStyle name="Normal 62 3" xfId="10909"/>
    <cellStyle name="Normal 62 3 2" xfId="10910"/>
    <cellStyle name="Normal 62 3 2 2" xfId="10911"/>
    <cellStyle name="Normal 62 3 2 2 2" xfId="10912"/>
    <cellStyle name="Normal 62 3 2 2 2 2" xfId="10913"/>
    <cellStyle name="Normal 62 3 2 2 3" xfId="10914"/>
    <cellStyle name="Normal 62 3 2 3" xfId="10915"/>
    <cellStyle name="Normal 62 3 2 3 2" xfId="10916"/>
    <cellStyle name="Normal 62 3 2 3 2 2" xfId="10917"/>
    <cellStyle name="Normal 62 3 2 3 3" xfId="10918"/>
    <cellStyle name="Normal 62 3 2 4" xfId="10919"/>
    <cellStyle name="Normal 62 3 2 4 2" xfId="10920"/>
    <cellStyle name="Normal 62 3 2 5" xfId="10921"/>
    <cellStyle name="Normal 62 3 3" xfId="10922"/>
    <cellStyle name="Normal 62 3 3 2" xfId="10923"/>
    <cellStyle name="Normal 62 3 3 2 2" xfId="10924"/>
    <cellStyle name="Normal 62 3 3 3" xfId="10925"/>
    <cellStyle name="Normal 62 3 4" xfId="10926"/>
    <cellStyle name="Normal 62 3 4 2" xfId="10927"/>
    <cellStyle name="Normal 62 3 4 2 2" xfId="10928"/>
    <cellStyle name="Normal 62 3 4 3" xfId="10929"/>
    <cellStyle name="Normal 62 3 5" xfId="10930"/>
    <cellStyle name="Normal 62 3 5 2" xfId="10931"/>
    <cellStyle name="Normal 62 3 6" xfId="10932"/>
    <cellStyle name="Normal 62 4" xfId="10933"/>
    <cellStyle name="Normal 62 4 2" xfId="10934"/>
    <cellStyle name="Normal 62 4 2 2" xfId="10935"/>
    <cellStyle name="Normal 62 4 2 2 2" xfId="10936"/>
    <cellStyle name="Normal 62 4 2 3" xfId="10937"/>
    <cellStyle name="Normal 62 4 3" xfId="10938"/>
    <cellStyle name="Normal 62 4 3 2" xfId="10939"/>
    <cellStyle name="Normal 62 4 3 2 2" xfId="10940"/>
    <cellStyle name="Normal 62 4 3 3" xfId="10941"/>
    <cellStyle name="Normal 62 4 4" xfId="10942"/>
    <cellStyle name="Normal 62 4 4 2" xfId="10943"/>
    <cellStyle name="Normal 62 4 5" xfId="10944"/>
    <cellStyle name="Normal 62 5" xfId="10945"/>
    <cellStyle name="Normal 62 5 2" xfId="10946"/>
    <cellStyle name="Normal 62 5 2 2" xfId="10947"/>
    <cellStyle name="Normal 62 5 3" xfId="10948"/>
    <cellStyle name="Normal 62 6" xfId="10949"/>
    <cellStyle name="Normal 62 6 2" xfId="10950"/>
    <cellStyle name="Normal 62 6 2 2" xfId="10951"/>
    <cellStyle name="Normal 62 6 3" xfId="10952"/>
    <cellStyle name="Normal 62 7" xfId="10953"/>
    <cellStyle name="Normal 62 7 2" xfId="10954"/>
    <cellStyle name="Normal 62 8" xfId="10955"/>
    <cellStyle name="Normal 62 9" xfId="10956"/>
    <cellStyle name="Normal 63" xfId="10957"/>
    <cellStyle name="Normal 63 2" xfId="10958"/>
    <cellStyle name="Normal 63 2 2" xfId="10959"/>
    <cellStyle name="Normal 63 2 2 2" xfId="10960"/>
    <cellStyle name="Normal 63 2 2 2 2" xfId="10961"/>
    <cellStyle name="Normal 63 2 2 2 2 2" xfId="10962"/>
    <cellStyle name="Normal 63 2 2 2 2 2 2" xfId="10963"/>
    <cellStyle name="Normal 63 2 2 2 2 3" xfId="10964"/>
    <cellStyle name="Normal 63 2 2 2 3" xfId="10965"/>
    <cellStyle name="Normal 63 2 2 2 3 2" xfId="10966"/>
    <cellStyle name="Normal 63 2 2 2 3 2 2" xfId="10967"/>
    <cellStyle name="Normal 63 2 2 2 3 3" xfId="10968"/>
    <cellStyle name="Normal 63 2 2 2 4" xfId="10969"/>
    <cellStyle name="Normal 63 2 2 2 4 2" xfId="10970"/>
    <cellStyle name="Normal 63 2 2 2 5" xfId="10971"/>
    <cellStyle name="Normal 63 2 2 3" xfId="10972"/>
    <cellStyle name="Normal 63 2 2 3 2" xfId="10973"/>
    <cellStyle name="Normal 63 2 2 3 2 2" xfId="10974"/>
    <cellStyle name="Normal 63 2 2 3 3" xfId="10975"/>
    <cellStyle name="Normal 63 2 2 4" xfId="10976"/>
    <cellStyle name="Normal 63 2 2 4 2" xfId="10977"/>
    <cellStyle name="Normal 63 2 2 4 2 2" xfId="10978"/>
    <cellStyle name="Normal 63 2 2 4 3" xfId="10979"/>
    <cellStyle name="Normal 63 2 2 5" xfId="10980"/>
    <cellStyle name="Normal 63 2 2 5 2" xfId="10981"/>
    <cellStyle name="Normal 63 2 2 6" xfId="10982"/>
    <cellStyle name="Normal 63 2 3" xfId="10983"/>
    <cellStyle name="Normal 63 2 3 2" xfId="10984"/>
    <cellStyle name="Normal 63 2 3 2 2" xfId="10985"/>
    <cellStyle name="Normal 63 2 3 2 2 2" xfId="10986"/>
    <cellStyle name="Normal 63 2 3 2 3" xfId="10987"/>
    <cellStyle name="Normal 63 2 3 3" xfId="10988"/>
    <cellStyle name="Normal 63 2 3 3 2" xfId="10989"/>
    <cellStyle name="Normal 63 2 3 3 2 2" xfId="10990"/>
    <cellStyle name="Normal 63 2 3 3 3" xfId="10991"/>
    <cellStyle name="Normal 63 2 3 4" xfId="10992"/>
    <cellStyle name="Normal 63 2 3 4 2" xfId="10993"/>
    <cellStyle name="Normal 63 2 3 5" xfId="10994"/>
    <cellStyle name="Normal 63 2 4" xfId="10995"/>
    <cellStyle name="Normal 63 2 4 2" xfId="10996"/>
    <cellStyle name="Normal 63 2 4 2 2" xfId="10997"/>
    <cellStyle name="Normal 63 2 4 3" xfId="10998"/>
    <cellStyle name="Normal 63 2 5" xfId="10999"/>
    <cellStyle name="Normal 63 2 5 2" xfId="11000"/>
    <cellStyle name="Normal 63 2 5 2 2" xfId="11001"/>
    <cellStyle name="Normal 63 2 5 3" xfId="11002"/>
    <cellStyle name="Normal 63 2 6" xfId="11003"/>
    <cellStyle name="Normal 63 2 6 2" xfId="11004"/>
    <cellStyle name="Normal 63 2 7" xfId="11005"/>
    <cellStyle name="Normal 63 3" xfId="11006"/>
    <cellStyle name="Normal 63 3 2" xfId="11007"/>
    <cellStyle name="Normal 63 3 2 2" xfId="11008"/>
    <cellStyle name="Normal 63 3 2 2 2" xfId="11009"/>
    <cellStyle name="Normal 63 3 2 2 2 2" xfId="11010"/>
    <cellStyle name="Normal 63 3 2 2 3" xfId="11011"/>
    <cellStyle name="Normal 63 3 2 3" xfId="11012"/>
    <cellStyle name="Normal 63 3 2 3 2" xfId="11013"/>
    <cellStyle name="Normal 63 3 2 3 2 2" xfId="11014"/>
    <cellStyle name="Normal 63 3 2 3 3" xfId="11015"/>
    <cellStyle name="Normal 63 3 2 4" xfId="11016"/>
    <cellStyle name="Normal 63 3 2 4 2" xfId="11017"/>
    <cellStyle name="Normal 63 3 2 5" xfId="11018"/>
    <cellStyle name="Normal 63 3 3" xfId="11019"/>
    <cellStyle name="Normal 63 3 3 2" xfId="11020"/>
    <cellStyle name="Normal 63 3 3 2 2" xfId="11021"/>
    <cellStyle name="Normal 63 3 3 3" xfId="11022"/>
    <cellStyle name="Normal 63 3 4" xfId="11023"/>
    <cellStyle name="Normal 63 3 4 2" xfId="11024"/>
    <cellStyle name="Normal 63 3 4 2 2" xfId="11025"/>
    <cellStyle name="Normal 63 3 4 3" xfId="11026"/>
    <cellStyle name="Normal 63 3 5" xfId="11027"/>
    <cellStyle name="Normal 63 3 5 2" xfId="11028"/>
    <cellStyle name="Normal 63 3 6" xfId="11029"/>
    <cellStyle name="Normal 63 4" xfId="11030"/>
    <cellStyle name="Normal 63 4 2" xfId="11031"/>
    <cellStyle name="Normal 63 4 2 2" xfId="11032"/>
    <cellStyle name="Normal 63 4 2 2 2" xfId="11033"/>
    <cellStyle name="Normal 63 4 2 3" xfId="11034"/>
    <cellStyle name="Normal 63 4 3" xfId="11035"/>
    <cellStyle name="Normal 63 4 3 2" xfId="11036"/>
    <cellStyle name="Normal 63 4 3 2 2" xfId="11037"/>
    <cellStyle name="Normal 63 4 3 3" xfId="11038"/>
    <cellStyle name="Normal 63 4 4" xfId="11039"/>
    <cellStyle name="Normal 63 4 4 2" xfId="11040"/>
    <cellStyle name="Normal 63 4 5" xfId="11041"/>
    <cellStyle name="Normal 63 5" xfId="11042"/>
    <cellStyle name="Normal 63 5 2" xfId="11043"/>
    <cellStyle name="Normal 63 5 2 2" xfId="11044"/>
    <cellStyle name="Normal 63 5 3" xfId="11045"/>
    <cellStyle name="Normal 63 6" xfId="11046"/>
    <cellStyle name="Normal 63 6 2" xfId="11047"/>
    <cellStyle name="Normal 63 6 2 2" xfId="11048"/>
    <cellStyle name="Normal 63 6 3" xfId="11049"/>
    <cellStyle name="Normal 63 7" xfId="11050"/>
    <cellStyle name="Normal 63 7 2" xfId="11051"/>
    <cellStyle name="Normal 63 8" xfId="11052"/>
    <cellStyle name="Normal 63 9" xfId="11053"/>
    <cellStyle name="Normal 64" xfId="11054"/>
    <cellStyle name="Normal 64 2" xfId="11055"/>
    <cellStyle name="Normal 64 2 2" xfId="11056"/>
    <cellStyle name="Normal 64 3" xfId="11057"/>
    <cellStyle name="Normal 64 3 2" xfId="11058"/>
    <cellStyle name="Normal 64 4" xfId="11059"/>
    <cellStyle name="Normal 64 5" xfId="11060"/>
    <cellStyle name="Normal 65" xfId="11061"/>
    <cellStyle name="Normal 65 2" xfId="11062"/>
    <cellStyle name="Normal 65 2 2" xfId="11063"/>
    <cellStyle name="Normal 65 2 2 2" xfId="11064"/>
    <cellStyle name="Normal 65 2 2 2 2" xfId="11065"/>
    <cellStyle name="Normal 65 2 2 2 2 2" xfId="11066"/>
    <cellStyle name="Normal 65 2 2 2 2 2 2" xfId="11067"/>
    <cellStyle name="Normal 65 2 2 2 2 3" xfId="11068"/>
    <cellStyle name="Normal 65 2 2 2 3" xfId="11069"/>
    <cellStyle name="Normal 65 2 2 2 3 2" xfId="11070"/>
    <cellStyle name="Normal 65 2 2 2 3 2 2" xfId="11071"/>
    <cellStyle name="Normal 65 2 2 2 3 3" xfId="11072"/>
    <cellStyle name="Normal 65 2 2 2 4" xfId="11073"/>
    <cellStyle name="Normal 65 2 2 2 4 2" xfId="11074"/>
    <cellStyle name="Normal 65 2 2 2 5" xfId="11075"/>
    <cellStyle name="Normal 65 2 2 3" xfId="11076"/>
    <cellStyle name="Normal 65 2 2 3 2" xfId="11077"/>
    <cellStyle name="Normal 65 2 2 3 2 2" xfId="11078"/>
    <cellStyle name="Normal 65 2 2 3 3" xfId="11079"/>
    <cellStyle name="Normal 65 2 2 4" xfId="11080"/>
    <cellStyle name="Normal 65 2 2 4 2" xfId="11081"/>
    <cellStyle name="Normal 65 2 2 4 2 2" xfId="11082"/>
    <cellStyle name="Normal 65 2 2 4 3" xfId="11083"/>
    <cellStyle name="Normal 65 2 2 5" xfId="11084"/>
    <cellStyle name="Normal 65 2 2 5 2" xfId="11085"/>
    <cellStyle name="Normal 65 2 2 6" xfId="11086"/>
    <cellStyle name="Normal 65 2 3" xfId="11087"/>
    <cellStyle name="Normal 65 2 3 2" xfId="11088"/>
    <cellStyle name="Normal 65 2 3 2 2" xfId="11089"/>
    <cellStyle name="Normal 65 2 3 2 2 2" xfId="11090"/>
    <cellStyle name="Normal 65 2 3 2 3" xfId="11091"/>
    <cellStyle name="Normal 65 2 3 3" xfId="11092"/>
    <cellStyle name="Normal 65 2 3 3 2" xfId="11093"/>
    <cellStyle name="Normal 65 2 3 3 2 2" xfId="11094"/>
    <cellStyle name="Normal 65 2 3 3 3" xfId="11095"/>
    <cellStyle name="Normal 65 2 3 4" xfId="11096"/>
    <cellStyle name="Normal 65 2 3 4 2" xfId="11097"/>
    <cellStyle name="Normal 65 2 3 5" xfId="11098"/>
    <cellStyle name="Normal 65 2 4" xfId="11099"/>
    <cellStyle name="Normal 65 2 4 2" xfId="11100"/>
    <cellStyle name="Normal 65 2 4 2 2" xfId="11101"/>
    <cellStyle name="Normal 65 2 4 3" xfId="11102"/>
    <cellStyle name="Normal 65 2 5" xfId="11103"/>
    <cellStyle name="Normal 65 2 5 2" xfId="11104"/>
    <cellStyle name="Normal 65 2 5 2 2" xfId="11105"/>
    <cellStyle name="Normal 65 2 5 3" xfId="11106"/>
    <cellStyle name="Normal 65 2 6" xfId="11107"/>
    <cellStyle name="Normal 65 2 6 2" xfId="11108"/>
    <cellStyle name="Normal 65 2 7" xfId="11109"/>
    <cellStyle name="Normal 65 3" xfId="11110"/>
    <cellStyle name="Normal 65 3 2" xfId="11111"/>
    <cellStyle name="Normal 65 3 2 2" xfId="11112"/>
    <cellStyle name="Normal 65 3 2 2 2" xfId="11113"/>
    <cellStyle name="Normal 65 3 2 2 2 2" xfId="11114"/>
    <cellStyle name="Normal 65 3 2 2 3" xfId="11115"/>
    <cellStyle name="Normal 65 3 2 3" xfId="11116"/>
    <cellStyle name="Normal 65 3 2 3 2" xfId="11117"/>
    <cellStyle name="Normal 65 3 2 3 2 2" xfId="11118"/>
    <cellStyle name="Normal 65 3 2 3 3" xfId="11119"/>
    <cellStyle name="Normal 65 3 2 4" xfId="11120"/>
    <cellStyle name="Normal 65 3 2 4 2" xfId="11121"/>
    <cellStyle name="Normal 65 3 2 5" xfId="11122"/>
    <cellStyle name="Normal 65 3 3" xfId="11123"/>
    <cellStyle name="Normal 65 3 3 2" xfId="11124"/>
    <cellStyle name="Normal 65 3 3 2 2" xfId="11125"/>
    <cellStyle name="Normal 65 3 3 3" xfId="11126"/>
    <cellStyle name="Normal 65 3 4" xfId="11127"/>
    <cellStyle name="Normal 65 3 4 2" xfId="11128"/>
    <cellStyle name="Normal 65 3 4 2 2" xfId="11129"/>
    <cellStyle name="Normal 65 3 4 3" xfId="11130"/>
    <cellStyle name="Normal 65 3 5" xfId="11131"/>
    <cellStyle name="Normal 65 3 5 2" xfId="11132"/>
    <cellStyle name="Normal 65 3 6" xfId="11133"/>
    <cellStyle name="Normal 65 4" xfId="11134"/>
    <cellStyle name="Normal 65 4 2" xfId="11135"/>
    <cellStyle name="Normal 65 4 2 2" xfId="11136"/>
    <cellStyle name="Normal 65 4 2 2 2" xfId="11137"/>
    <cellStyle name="Normal 65 4 2 3" xfId="11138"/>
    <cellStyle name="Normal 65 4 3" xfId="11139"/>
    <cellStyle name="Normal 65 4 3 2" xfId="11140"/>
    <cellStyle name="Normal 65 4 3 2 2" xfId="11141"/>
    <cellStyle name="Normal 65 4 3 3" xfId="11142"/>
    <cellStyle name="Normal 65 4 4" xfId="11143"/>
    <cellStyle name="Normal 65 4 4 2" xfId="11144"/>
    <cellStyle name="Normal 65 4 5" xfId="11145"/>
    <cellStyle name="Normal 65 5" xfId="11146"/>
    <cellStyle name="Normal 65 5 2" xfId="11147"/>
    <cellStyle name="Normal 65 5 2 2" xfId="11148"/>
    <cellStyle name="Normal 65 5 3" xfId="11149"/>
    <cellStyle name="Normal 65 6" xfId="11150"/>
    <cellStyle name="Normal 65 6 2" xfId="11151"/>
    <cellStyle name="Normal 65 6 2 2" xfId="11152"/>
    <cellStyle name="Normal 65 6 3" xfId="11153"/>
    <cellStyle name="Normal 65 7" xfId="11154"/>
    <cellStyle name="Normal 65 7 2" xfId="11155"/>
    <cellStyle name="Normal 65 8" xfId="11156"/>
    <cellStyle name="Normal 65 9" xfId="11157"/>
    <cellStyle name="Normal 66" xfId="11158"/>
    <cellStyle name="Normal 66 2" xfId="11159"/>
    <cellStyle name="Normal 66 2 2" xfId="11160"/>
    <cellStyle name="Normal 66 3" xfId="11161"/>
    <cellStyle name="Normal 66 3 2" xfId="11162"/>
    <cellStyle name="Normal 66 4" xfId="11163"/>
    <cellStyle name="Normal 66 5" xfId="11164"/>
    <cellStyle name="Normal 67" xfId="11165"/>
    <cellStyle name="Normal 67 2" xfId="11166"/>
    <cellStyle name="Normal 67 2 2" xfId="11167"/>
    <cellStyle name="Normal 67 3" xfId="11168"/>
    <cellStyle name="Normal 67 3 2" xfId="11169"/>
    <cellStyle name="Normal 67 4" xfId="11170"/>
    <cellStyle name="Normal 67 5" xfId="11171"/>
    <cellStyle name="Normal 68" xfId="11172"/>
    <cellStyle name="Normal 68 2" xfId="11173"/>
    <cellStyle name="Normal 68 2 2" xfId="11174"/>
    <cellStyle name="Normal 68 3" xfId="11175"/>
    <cellStyle name="Normal 68 3 2" xfId="11176"/>
    <cellStyle name="Normal 68 4" xfId="11177"/>
    <cellStyle name="Normal 68 5" xfId="11178"/>
    <cellStyle name="Normal 69" xfId="11179"/>
    <cellStyle name="Normal 69 2" xfId="11180"/>
    <cellStyle name="Normal 69 2 2" xfId="11181"/>
    <cellStyle name="Normal 69 3" xfId="11182"/>
    <cellStyle name="Normal 69 3 2" xfId="11183"/>
    <cellStyle name="Normal 69 4" xfId="11184"/>
    <cellStyle name="Normal 69 5" xfId="11185"/>
    <cellStyle name="Normal 7" xfId="11186"/>
    <cellStyle name="Normal 7 10" xfId="11187"/>
    <cellStyle name="Normal 7 10 2" xfId="11188"/>
    <cellStyle name="Normal 7 10 2 2" xfId="11189"/>
    <cellStyle name="Normal 7 10 3" xfId="11190"/>
    <cellStyle name="Normal 7 11" xfId="11191"/>
    <cellStyle name="Normal 7 11 2" xfId="11192"/>
    <cellStyle name="Normal 7 12" xfId="11193"/>
    <cellStyle name="Normal 7 13" xfId="11194"/>
    <cellStyle name="Normal 7 2" xfId="11195"/>
    <cellStyle name="Normal 7 2 10" xfId="11196"/>
    <cellStyle name="Normal 7 2 10 2" xfId="11197"/>
    <cellStyle name="Normal 7 2 11" xfId="11198"/>
    <cellStyle name="Normal 7 2 12" xfId="11199"/>
    <cellStyle name="Normal 7 2 2" xfId="11200"/>
    <cellStyle name="Normal 7 2 2 10" xfId="11201"/>
    <cellStyle name="Normal 7 2 2 2" xfId="11202"/>
    <cellStyle name="Normal 7 2 2 2 2" xfId="11203"/>
    <cellStyle name="Normal 7 2 2 2 2 2" xfId="11204"/>
    <cellStyle name="Normal 7 2 2 2 2 2 2" xfId="11205"/>
    <cellStyle name="Normal 7 2 2 2 2 2 2 2" xfId="11206"/>
    <cellStyle name="Normal 7 2 2 2 2 2 2 2 2" xfId="11207"/>
    <cellStyle name="Normal 7 2 2 2 2 2 2 2 2 2" xfId="11208"/>
    <cellStyle name="Normal 7 2 2 2 2 2 2 2 3" xfId="11209"/>
    <cellStyle name="Normal 7 2 2 2 2 2 2 3" xfId="11210"/>
    <cellStyle name="Normal 7 2 2 2 2 2 2 3 2" xfId="11211"/>
    <cellStyle name="Normal 7 2 2 2 2 2 2 3 2 2" xfId="11212"/>
    <cellStyle name="Normal 7 2 2 2 2 2 2 3 3" xfId="11213"/>
    <cellStyle name="Normal 7 2 2 2 2 2 2 4" xfId="11214"/>
    <cellStyle name="Normal 7 2 2 2 2 2 2 4 2" xfId="11215"/>
    <cellStyle name="Normal 7 2 2 2 2 2 2 5" xfId="11216"/>
    <cellStyle name="Normal 7 2 2 2 2 2 3" xfId="11217"/>
    <cellStyle name="Normal 7 2 2 2 2 2 3 2" xfId="11218"/>
    <cellStyle name="Normal 7 2 2 2 2 2 3 2 2" xfId="11219"/>
    <cellStyle name="Normal 7 2 2 2 2 2 3 3" xfId="11220"/>
    <cellStyle name="Normal 7 2 2 2 2 2 4" xfId="11221"/>
    <cellStyle name="Normal 7 2 2 2 2 2 4 2" xfId="11222"/>
    <cellStyle name="Normal 7 2 2 2 2 2 4 2 2" xfId="11223"/>
    <cellStyle name="Normal 7 2 2 2 2 2 4 3" xfId="11224"/>
    <cellStyle name="Normal 7 2 2 2 2 2 5" xfId="11225"/>
    <cellStyle name="Normal 7 2 2 2 2 2 5 2" xfId="11226"/>
    <cellStyle name="Normal 7 2 2 2 2 2 6" xfId="11227"/>
    <cellStyle name="Normal 7 2 2 2 2 3" xfId="11228"/>
    <cellStyle name="Normal 7 2 2 2 2 3 2" xfId="11229"/>
    <cellStyle name="Normal 7 2 2 2 2 3 2 2" xfId="11230"/>
    <cellStyle name="Normal 7 2 2 2 2 3 2 2 2" xfId="11231"/>
    <cellStyle name="Normal 7 2 2 2 2 3 2 3" xfId="11232"/>
    <cellStyle name="Normal 7 2 2 2 2 3 3" xfId="11233"/>
    <cellStyle name="Normal 7 2 2 2 2 3 3 2" xfId="11234"/>
    <cellStyle name="Normal 7 2 2 2 2 3 3 2 2" xfId="11235"/>
    <cellStyle name="Normal 7 2 2 2 2 3 3 3" xfId="11236"/>
    <cellStyle name="Normal 7 2 2 2 2 3 4" xfId="11237"/>
    <cellStyle name="Normal 7 2 2 2 2 3 4 2" xfId="11238"/>
    <cellStyle name="Normal 7 2 2 2 2 3 5" xfId="11239"/>
    <cellStyle name="Normal 7 2 2 2 2 4" xfId="11240"/>
    <cellStyle name="Normal 7 2 2 2 2 4 2" xfId="11241"/>
    <cellStyle name="Normal 7 2 2 2 2 4 2 2" xfId="11242"/>
    <cellStyle name="Normal 7 2 2 2 2 4 3" xfId="11243"/>
    <cellStyle name="Normal 7 2 2 2 2 5" xfId="11244"/>
    <cellStyle name="Normal 7 2 2 2 2 5 2" xfId="11245"/>
    <cellStyle name="Normal 7 2 2 2 2 5 2 2" xfId="11246"/>
    <cellStyle name="Normal 7 2 2 2 2 5 3" xfId="11247"/>
    <cellStyle name="Normal 7 2 2 2 2 6" xfId="11248"/>
    <cellStyle name="Normal 7 2 2 2 2 6 2" xfId="11249"/>
    <cellStyle name="Normal 7 2 2 2 2 7" xfId="11250"/>
    <cellStyle name="Normal 7 2 2 2 3" xfId="11251"/>
    <cellStyle name="Normal 7 2 2 2 3 2" xfId="11252"/>
    <cellStyle name="Normal 7 2 2 2 3 2 2" xfId="11253"/>
    <cellStyle name="Normal 7 2 2 2 3 2 2 2" xfId="11254"/>
    <cellStyle name="Normal 7 2 2 2 3 2 2 2 2" xfId="11255"/>
    <cellStyle name="Normal 7 2 2 2 3 2 2 3" xfId="11256"/>
    <cellStyle name="Normal 7 2 2 2 3 2 3" xfId="11257"/>
    <cellStyle name="Normal 7 2 2 2 3 2 3 2" xfId="11258"/>
    <cellStyle name="Normal 7 2 2 2 3 2 3 2 2" xfId="11259"/>
    <cellStyle name="Normal 7 2 2 2 3 2 3 3" xfId="11260"/>
    <cellStyle name="Normal 7 2 2 2 3 2 4" xfId="11261"/>
    <cellStyle name="Normal 7 2 2 2 3 2 4 2" xfId="11262"/>
    <cellStyle name="Normal 7 2 2 2 3 2 5" xfId="11263"/>
    <cellStyle name="Normal 7 2 2 2 3 3" xfId="11264"/>
    <cellStyle name="Normal 7 2 2 2 3 3 2" xfId="11265"/>
    <cellStyle name="Normal 7 2 2 2 3 3 2 2" xfId="11266"/>
    <cellStyle name="Normal 7 2 2 2 3 3 3" xfId="11267"/>
    <cellStyle name="Normal 7 2 2 2 3 4" xfId="11268"/>
    <cellStyle name="Normal 7 2 2 2 3 4 2" xfId="11269"/>
    <cellStyle name="Normal 7 2 2 2 3 4 2 2" xfId="11270"/>
    <cellStyle name="Normal 7 2 2 2 3 4 3" xfId="11271"/>
    <cellStyle name="Normal 7 2 2 2 3 5" xfId="11272"/>
    <cellStyle name="Normal 7 2 2 2 3 5 2" xfId="11273"/>
    <cellStyle name="Normal 7 2 2 2 3 6" xfId="11274"/>
    <cellStyle name="Normal 7 2 2 2 4" xfId="11275"/>
    <cellStyle name="Normal 7 2 2 2 4 2" xfId="11276"/>
    <cellStyle name="Normal 7 2 2 2 4 2 2" xfId="11277"/>
    <cellStyle name="Normal 7 2 2 2 4 2 2 2" xfId="11278"/>
    <cellStyle name="Normal 7 2 2 2 4 2 3" xfId="11279"/>
    <cellStyle name="Normal 7 2 2 2 4 3" xfId="11280"/>
    <cellStyle name="Normal 7 2 2 2 4 3 2" xfId="11281"/>
    <cellStyle name="Normal 7 2 2 2 4 3 2 2" xfId="11282"/>
    <cellStyle name="Normal 7 2 2 2 4 3 3" xfId="11283"/>
    <cellStyle name="Normal 7 2 2 2 4 4" xfId="11284"/>
    <cellStyle name="Normal 7 2 2 2 4 4 2" xfId="11285"/>
    <cellStyle name="Normal 7 2 2 2 4 5" xfId="11286"/>
    <cellStyle name="Normal 7 2 2 2 5" xfId="11287"/>
    <cellStyle name="Normal 7 2 2 2 5 2" xfId="11288"/>
    <cellStyle name="Normal 7 2 2 2 5 2 2" xfId="11289"/>
    <cellStyle name="Normal 7 2 2 2 5 3" xfId="11290"/>
    <cellStyle name="Normal 7 2 2 2 6" xfId="11291"/>
    <cellStyle name="Normal 7 2 2 2 6 2" xfId="11292"/>
    <cellStyle name="Normal 7 2 2 2 6 2 2" xfId="11293"/>
    <cellStyle name="Normal 7 2 2 2 6 3" xfId="11294"/>
    <cellStyle name="Normal 7 2 2 2 7" xfId="11295"/>
    <cellStyle name="Normal 7 2 2 2 7 2" xfId="11296"/>
    <cellStyle name="Normal 7 2 2 2 8" xfId="11297"/>
    <cellStyle name="Normal 7 2 2 3" xfId="11298"/>
    <cellStyle name="Normal 7 2 2 3 2" xfId="11299"/>
    <cellStyle name="Normal 7 2 2 3 2 2" xfId="11300"/>
    <cellStyle name="Normal 7 2 2 3 2 2 2" xfId="11301"/>
    <cellStyle name="Normal 7 2 2 3 2 2 2 2" xfId="11302"/>
    <cellStyle name="Normal 7 2 2 3 2 2 2 2 2" xfId="11303"/>
    <cellStyle name="Normal 7 2 2 3 2 2 2 3" xfId="11304"/>
    <cellStyle name="Normal 7 2 2 3 2 2 3" xfId="11305"/>
    <cellStyle name="Normal 7 2 2 3 2 2 3 2" xfId="11306"/>
    <cellStyle name="Normal 7 2 2 3 2 2 3 2 2" xfId="11307"/>
    <cellStyle name="Normal 7 2 2 3 2 2 3 3" xfId="11308"/>
    <cellStyle name="Normal 7 2 2 3 2 2 4" xfId="11309"/>
    <cellStyle name="Normal 7 2 2 3 2 2 4 2" xfId="11310"/>
    <cellStyle name="Normal 7 2 2 3 2 2 5" xfId="11311"/>
    <cellStyle name="Normal 7 2 2 3 2 3" xfId="11312"/>
    <cellStyle name="Normal 7 2 2 3 2 3 2" xfId="11313"/>
    <cellStyle name="Normal 7 2 2 3 2 3 2 2" xfId="11314"/>
    <cellStyle name="Normal 7 2 2 3 2 3 3" xfId="11315"/>
    <cellStyle name="Normal 7 2 2 3 2 4" xfId="11316"/>
    <cellStyle name="Normal 7 2 2 3 2 4 2" xfId="11317"/>
    <cellStyle name="Normal 7 2 2 3 2 4 2 2" xfId="11318"/>
    <cellStyle name="Normal 7 2 2 3 2 4 3" xfId="11319"/>
    <cellStyle name="Normal 7 2 2 3 2 5" xfId="11320"/>
    <cellStyle name="Normal 7 2 2 3 2 5 2" xfId="11321"/>
    <cellStyle name="Normal 7 2 2 3 2 6" xfId="11322"/>
    <cellStyle name="Normal 7 2 2 3 3" xfId="11323"/>
    <cellStyle name="Normal 7 2 2 3 3 2" xfId="11324"/>
    <cellStyle name="Normal 7 2 2 3 3 2 2" xfId="11325"/>
    <cellStyle name="Normal 7 2 2 3 3 2 2 2" xfId="11326"/>
    <cellStyle name="Normal 7 2 2 3 3 2 3" xfId="11327"/>
    <cellStyle name="Normal 7 2 2 3 3 3" xfId="11328"/>
    <cellStyle name="Normal 7 2 2 3 3 3 2" xfId="11329"/>
    <cellStyle name="Normal 7 2 2 3 3 3 2 2" xfId="11330"/>
    <cellStyle name="Normal 7 2 2 3 3 3 3" xfId="11331"/>
    <cellStyle name="Normal 7 2 2 3 3 4" xfId="11332"/>
    <cellStyle name="Normal 7 2 2 3 3 4 2" xfId="11333"/>
    <cellStyle name="Normal 7 2 2 3 3 5" xfId="11334"/>
    <cellStyle name="Normal 7 2 2 3 4" xfId="11335"/>
    <cellStyle name="Normal 7 2 2 3 4 2" xfId="11336"/>
    <cellStyle name="Normal 7 2 2 3 4 2 2" xfId="11337"/>
    <cellStyle name="Normal 7 2 2 3 4 3" xfId="11338"/>
    <cellStyle name="Normal 7 2 2 3 5" xfId="11339"/>
    <cellStyle name="Normal 7 2 2 3 5 2" xfId="11340"/>
    <cellStyle name="Normal 7 2 2 3 5 2 2" xfId="11341"/>
    <cellStyle name="Normal 7 2 2 3 5 3" xfId="11342"/>
    <cellStyle name="Normal 7 2 2 3 6" xfId="11343"/>
    <cellStyle name="Normal 7 2 2 3 6 2" xfId="11344"/>
    <cellStyle name="Normal 7 2 2 3 7" xfId="11345"/>
    <cellStyle name="Normal 7 2 2 4" xfId="11346"/>
    <cellStyle name="Normal 7 2 2 4 2" xfId="11347"/>
    <cellStyle name="Normal 7 2 2 4 2 2" xfId="11348"/>
    <cellStyle name="Normal 7 2 2 4 2 2 2" xfId="11349"/>
    <cellStyle name="Normal 7 2 2 4 2 2 2 2" xfId="11350"/>
    <cellStyle name="Normal 7 2 2 4 2 2 3" xfId="11351"/>
    <cellStyle name="Normal 7 2 2 4 2 3" xfId="11352"/>
    <cellStyle name="Normal 7 2 2 4 2 3 2" xfId="11353"/>
    <cellStyle name="Normal 7 2 2 4 2 3 2 2" xfId="11354"/>
    <cellStyle name="Normal 7 2 2 4 2 3 3" xfId="11355"/>
    <cellStyle name="Normal 7 2 2 4 2 4" xfId="11356"/>
    <cellStyle name="Normal 7 2 2 4 2 4 2" xfId="11357"/>
    <cellStyle name="Normal 7 2 2 4 2 5" xfId="11358"/>
    <cellStyle name="Normal 7 2 2 4 3" xfId="11359"/>
    <cellStyle name="Normal 7 2 2 4 3 2" xfId="11360"/>
    <cellStyle name="Normal 7 2 2 4 3 2 2" xfId="11361"/>
    <cellStyle name="Normal 7 2 2 4 3 3" xfId="11362"/>
    <cellStyle name="Normal 7 2 2 4 4" xfId="11363"/>
    <cellStyle name="Normal 7 2 2 4 4 2" xfId="11364"/>
    <cellStyle name="Normal 7 2 2 4 4 2 2" xfId="11365"/>
    <cellStyle name="Normal 7 2 2 4 4 3" xfId="11366"/>
    <cellStyle name="Normal 7 2 2 4 5" xfId="11367"/>
    <cellStyle name="Normal 7 2 2 4 5 2" xfId="11368"/>
    <cellStyle name="Normal 7 2 2 4 6" xfId="11369"/>
    <cellStyle name="Normal 7 2 2 5" xfId="11370"/>
    <cellStyle name="Normal 7 2 2 5 2" xfId="11371"/>
    <cellStyle name="Normal 7 2 2 5 2 2" xfId="11372"/>
    <cellStyle name="Normal 7 2 2 5 2 2 2" xfId="11373"/>
    <cellStyle name="Normal 7 2 2 5 2 3" xfId="11374"/>
    <cellStyle name="Normal 7 2 2 5 3" xfId="11375"/>
    <cellStyle name="Normal 7 2 2 5 3 2" xfId="11376"/>
    <cellStyle name="Normal 7 2 2 5 3 2 2" xfId="11377"/>
    <cellStyle name="Normal 7 2 2 5 3 3" xfId="11378"/>
    <cellStyle name="Normal 7 2 2 5 4" xfId="11379"/>
    <cellStyle name="Normal 7 2 2 5 4 2" xfId="11380"/>
    <cellStyle name="Normal 7 2 2 5 5" xfId="11381"/>
    <cellStyle name="Normal 7 2 2 6" xfId="11382"/>
    <cellStyle name="Normal 7 2 2 6 2" xfId="11383"/>
    <cellStyle name="Normal 7 2 2 6 2 2" xfId="11384"/>
    <cellStyle name="Normal 7 2 2 6 3" xfId="11385"/>
    <cellStyle name="Normal 7 2 2 7" xfId="11386"/>
    <cellStyle name="Normal 7 2 2 7 2" xfId="11387"/>
    <cellStyle name="Normal 7 2 2 7 2 2" xfId="11388"/>
    <cellStyle name="Normal 7 2 2 7 3" xfId="11389"/>
    <cellStyle name="Normal 7 2 2 8" xfId="11390"/>
    <cellStyle name="Normal 7 2 2 8 2" xfId="11391"/>
    <cellStyle name="Normal 7 2 2 9" xfId="11392"/>
    <cellStyle name="Normal 7 2 3" xfId="11393"/>
    <cellStyle name="Normal 7 2 3 2" xfId="11394"/>
    <cellStyle name="Normal 7 2 3 2 2" xfId="11395"/>
    <cellStyle name="Normal 7 2 3 2 2 2" xfId="11396"/>
    <cellStyle name="Normal 7 2 3 2 2 2 2" xfId="11397"/>
    <cellStyle name="Normal 7 2 3 2 2 2 2 2" xfId="11398"/>
    <cellStyle name="Normal 7 2 3 2 2 2 2 2 2" xfId="11399"/>
    <cellStyle name="Normal 7 2 3 2 2 2 2 3" xfId="11400"/>
    <cellStyle name="Normal 7 2 3 2 2 2 3" xfId="11401"/>
    <cellStyle name="Normal 7 2 3 2 2 2 3 2" xfId="11402"/>
    <cellStyle name="Normal 7 2 3 2 2 2 3 2 2" xfId="11403"/>
    <cellStyle name="Normal 7 2 3 2 2 2 3 3" xfId="11404"/>
    <cellStyle name="Normal 7 2 3 2 2 2 4" xfId="11405"/>
    <cellStyle name="Normal 7 2 3 2 2 2 4 2" xfId="11406"/>
    <cellStyle name="Normal 7 2 3 2 2 2 5" xfId="11407"/>
    <cellStyle name="Normal 7 2 3 2 2 3" xfId="11408"/>
    <cellStyle name="Normal 7 2 3 2 2 3 2" xfId="11409"/>
    <cellStyle name="Normal 7 2 3 2 2 3 2 2" xfId="11410"/>
    <cellStyle name="Normal 7 2 3 2 2 3 3" xfId="11411"/>
    <cellStyle name="Normal 7 2 3 2 2 4" xfId="11412"/>
    <cellStyle name="Normal 7 2 3 2 2 4 2" xfId="11413"/>
    <cellStyle name="Normal 7 2 3 2 2 4 2 2" xfId="11414"/>
    <cellStyle name="Normal 7 2 3 2 2 4 3" xfId="11415"/>
    <cellStyle name="Normal 7 2 3 2 2 5" xfId="11416"/>
    <cellStyle name="Normal 7 2 3 2 2 5 2" xfId="11417"/>
    <cellStyle name="Normal 7 2 3 2 2 6" xfId="11418"/>
    <cellStyle name="Normal 7 2 3 2 3" xfId="11419"/>
    <cellStyle name="Normal 7 2 3 2 3 2" xfId="11420"/>
    <cellStyle name="Normal 7 2 3 2 3 2 2" xfId="11421"/>
    <cellStyle name="Normal 7 2 3 2 3 2 2 2" xfId="11422"/>
    <cellStyle name="Normal 7 2 3 2 3 2 3" xfId="11423"/>
    <cellStyle name="Normal 7 2 3 2 3 3" xfId="11424"/>
    <cellStyle name="Normal 7 2 3 2 3 3 2" xfId="11425"/>
    <cellStyle name="Normal 7 2 3 2 3 3 2 2" xfId="11426"/>
    <cellStyle name="Normal 7 2 3 2 3 3 3" xfId="11427"/>
    <cellStyle name="Normal 7 2 3 2 3 4" xfId="11428"/>
    <cellStyle name="Normal 7 2 3 2 3 4 2" xfId="11429"/>
    <cellStyle name="Normal 7 2 3 2 3 5" xfId="11430"/>
    <cellStyle name="Normal 7 2 3 2 4" xfId="11431"/>
    <cellStyle name="Normal 7 2 3 2 4 2" xfId="11432"/>
    <cellStyle name="Normal 7 2 3 2 4 2 2" xfId="11433"/>
    <cellStyle name="Normal 7 2 3 2 4 3" xfId="11434"/>
    <cellStyle name="Normal 7 2 3 2 5" xfId="11435"/>
    <cellStyle name="Normal 7 2 3 2 5 2" xfId="11436"/>
    <cellStyle name="Normal 7 2 3 2 5 2 2" xfId="11437"/>
    <cellStyle name="Normal 7 2 3 2 5 3" xfId="11438"/>
    <cellStyle name="Normal 7 2 3 2 6" xfId="11439"/>
    <cellStyle name="Normal 7 2 3 2 6 2" xfId="11440"/>
    <cellStyle name="Normal 7 2 3 2 7" xfId="11441"/>
    <cellStyle name="Normal 7 2 3 3" xfId="11442"/>
    <cellStyle name="Normal 7 2 3 3 2" xfId="11443"/>
    <cellStyle name="Normal 7 2 3 3 2 2" xfId="11444"/>
    <cellStyle name="Normal 7 2 3 3 2 2 2" xfId="11445"/>
    <cellStyle name="Normal 7 2 3 3 2 2 2 2" xfId="11446"/>
    <cellStyle name="Normal 7 2 3 3 2 2 3" xfId="11447"/>
    <cellStyle name="Normal 7 2 3 3 2 3" xfId="11448"/>
    <cellStyle name="Normal 7 2 3 3 2 3 2" xfId="11449"/>
    <cellStyle name="Normal 7 2 3 3 2 3 2 2" xfId="11450"/>
    <cellStyle name="Normal 7 2 3 3 2 3 3" xfId="11451"/>
    <cellStyle name="Normal 7 2 3 3 2 4" xfId="11452"/>
    <cellStyle name="Normal 7 2 3 3 2 4 2" xfId="11453"/>
    <cellStyle name="Normal 7 2 3 3 2 5" xfId="11454"/>
    <cellStyle name="Normal 7 2 3 3 3" xfId="11455"/>
    <cellStyle name="Normal 7 2 3 3 3 2" xfId="11456"/>
    <cellStyle name="Normal 7 2 3 3 3 2 2" xfId="11457"/>
    <cellStyle name="Normal 7 2 3 3 3 3" xfId="11458"/>
    <cellStyle name="Normal 7 2 3 3 4" xfId="11459"/>
    <cellStyle name="Normal 7 2 3 3 4 2" xfId="11460"/>
    <cellStyle name="Normal 7 2 3 3 4 2 2" xfId="11461"/>
    <cellStyle name="Normal 7 2 3 3 4 3" xfId="11462"/>
    <cellStyle name="Normal 7 2 3 3 5" xfId="11463"/>
    <cellStyle name="Normal 7 2 3 3 5 2" xfId="11464"/>
    <cellStyle name="Normal 7 2 3 3 6" xfId="11465"/>
    <cellStyle name="Normal 7 2 3 4" xfId="11466"/>
    <cellStyle name="Normal 7 2 3 4 2" xfId="11467"/>
    <cellStyle name="Normal 7 2 3 4 2 2" xfId="11468"/>
    <cellStyle name="Normal 7 2 3 4 2 2 2" xfId="11469"/>
    <cellStyle name="Normal 7 2 3 4 2 3" xfId="11470"/>
    <cellStyle name="Normal 7 2 3 4 3" xfId="11471"/>
    <cellStyle name="Normal 7 2 3 4 3 2" xfId="11472"/>
    <cellStyle name="Normal 7 2 3 4 3 2 2" xfId="11473"/>
    <cellStyle name="Normal 7 2 3 4 3 3" xfId="11474"/>
    <cellStyle name="Normal 7 2 3 4 4" xfId="11475"/>
    <cellStyle name="Normal 7 2 3 4 4 2" xfId="11476"/>
    <cellStyle name="Normal 7 2 3 4 5" xfId="11477"/>
    <cellStyle name="Normal 7 2 3 5" xfId="11478"/>
    <cellStyle name="Normal 7 2 3 5 2" xfId="11479"/>
    <cellStyle name="Normal 7 2 3 5 2 2" xfId="11480"/>
    <cellStyle name="Normal 7 2 3 5 3" xfId="11481"/>
    <cellStyle name="Normal 7 2 3 6" xfId="11482"/>
    <cellStyle name="Normal 7 2 3 6 2" xfId="11483"/>
    <cellStyle name="Normal 7 2 3 6 2 2" xfId="11484"/>
    <cellStyle name="Normal 7 2 3 6 3" xfId="11485"/>
    <cellStyle name="Normal 7 2 3 7" xfId="11486"/>
    <cellStyle name="Normal 7 2 3 7 2" xfId="11487"/>
    <cellStyle name="Normal 7 2 3 8" xfId="11488"/>
    <cellStyle name="Normal 7 2 4" xfId="11489"/>
    <cellStyle name="Normal 7 2 4 2" xfId="11490"/>
    <cellStyle name="Normal 7 2 4 2 2" xfId="11491"/>
    <cellStyle name="Normal 7 2 4 2 2 2" xfId="11492"/>
    <cellStyle name="Normal 7 2 4 2 2 2 2" xfId="11493"/>
    <cellStyle name="Normal 7 2 4 2 2 2 2 2" xfId="11494"/>
    <cellStyle name="Normal 7 2 4 2 2 2 2 2 2" xfId="11495"/>
    <cellStyle name="Normal 7 2 4 2 2 2 2 3" xfId="11496"/>
    <cellStyle name="Normal 7 2 4 2 2 2 3" xfId="11497"/>
    <cellStyle name="Normal 7 2 4 2 2 2 3 2" xfId="11498"/>
    <cellStyle name="Normal 7 2 4 2 2 2 3 2 2" xfId="11499"/>
    <cellStyle name="Normal 7 2 4 2 2 2 3 3" xfId="11500"/>
    <cellStyle name="Normal 7 2 4 2 2 2 4" xfId="11501"/>
    <cellStyle name="Normal 7 2 4 2 2 2 4 2" xfId="11502"/>
    <cellStyle name="Normal 7 2 4 2 2 2 5" xfId="11503"/>
    <cellStyle name="Normal 7 2 4 2 2 3" xfId="11504"/>
    <cellStyle name="Normal 7 2 4 2 2 3 2" xfId="11505"/>
    <cellStyle name="Normal 7 2 4 2 2 3 2 2" xfId="11506"/>
    <cellStyle name="Normal 7 2 4 2 2 3 3" xfId="11507"/>
    <cellStyle name="Normal 7 2 4 2 2 4" xfId="11508"/>
    <cellStyle name="Normal 7 2 4 2 2 4 2" xfId="11509"/>
    <cellStyle name="Normal 7 2 4 2 2 4 2 2" xfId="11510"/>
    <cellStyle name="Normal 7 2 4 2 2 4 3" xfId="11511"/>
    <cellStyle name="Normal 7 2 4 2 2 5" xfId="11512"/>
    <cellStyle name="Normal 7 2 4 2 2 5 2" xfId="11513"/>
    <cellStyle name="Normal 7 2 4 2 2 6" xfId="11514"/>
    <cellStyle name="Normal 7 2 4 2 3" xfId="11515"/>
    <cellStyle name="Normal 7 2 4 2 3 2" xfId="11516"/>
    <cellStyle name="Normal 7 2 4 2 3 2 2" xfId="11517"/>
    <cellStyle name="Normal 7 2 4 2 3 2 2 2" xfId="11518"/>
    <cellStyle name="Normal 7 2 4 2 3 2 3" xfId="11519"/>
    <cellStyle name="Normal 7 2 4 2 3 3" xfId="11520"/>
    <cellStyle name="Normal 7 2 4 2 3 3 2" xfId="11521"/>
    <cellStyle name="Normal 7 2 4 2 3 3 2 2" xfId="11522"/>
    <cellStyle name="Normal 7 2 4 2 3 3 3" xfId="11523"/>
    <cellStyle name="Normal 7 2 4 2 3 4" xfId="11524"/>
    <cellStyle name="Normal 7 2 4 2 3 4 2" xfId="11525"/>
    <cellStyle name="Normal 7 2 4 2 3 5" xfId="11526"/>
    <cellStyle name="Normal 7 2 4 2 4" xfId="11527"/>
    <cellStyle name="Normal 7 2 4 2 4 2" xfId="11528"/>
    <cellStyle name="Normal 7 2 4 2 4 2 2" xfId="11529"/>
    <cellStyle name="Normal 7 2 4 2 4 3" xfId="11530"/>
    <cellStyle name="Normal 7 2 4 2 5" xfId="11531"/>
    <cellStyle name="Normal 7 2 4 2 5 2" xfId="11532"/>
    <cellStyle name="Normal 7 2 4 2 5 2 2" xfId="11533"/>
    <cellStyle name="Normal 7 2 4 2 5 3" xfId="11534"/>
    <cellStyle name="Normal 7 2 4 2 6" xfId="11535"/>
    <cellStyle name="Normal 7 2 4 2 6 2" xfId="11536"/>
    <cellStyle name="Normal 7 2 4 2 7" xfId="11537"/>
    <cellStyle name="Normal 7 2 4 3" xfId="11538"/>
    <cellStyle name="Normal 7 2 4 3 2" xfId="11539"/>
    <cellStyle name="Normal 7 2 4 3 2 2" xfId="11540"/>
    <cellStyle name="Normal 7 2 4 3 2 2 2" xfId="11541"/>
    <cellStyle name="Normal 7 2 4 3 2 2 2 2" xfId="11542"/>
    <cellStyle name="Normal 7 2 4 3 2 2 3" xfId="11543"/>
    <cellStyle name="Normal 7 2 4 3 2 3" xfId="11544"/>
    <cellStyle name="Normal 7 2 4 3 2 3 2" xfId="11545"/>
    <cellStyle name="Normal 7 2 4 3 2 3 2 2" xfId="11546"/>
    <cellStyle name="Normal 7 2 4 3 2 3 3" xfId="11547"/>
    <cellStyle name="Normal 7 2 4 3 2 4" xfId="11548"/>
    <cellStyle name="Normal 7 2 4 3 2 4 2" xfId="11549"/>
    <cellStyle name="Normal 7 2 4 3 2 5" xfId="11550"/>
    <cellStyle name="Normal 7 2 4 3 3" xfId="11551"/>
    <cellStyle name="Normal 7 2 4 3 3 2" xfId="11552"/>
    <cellStyle name="Normal 7 2 4 3 3 2 2" xfId="11553"/>
    <cellStyle name="Normal 7 2 4 3 3 3" xfId="11554"/>
    <cellStyle name="Normal 7 2 4 3 4" xfId="11555"/>
    <cellStyle name="Normal 7 2 4 3 4 2" xfId="11556"/>
    <cellStyle name="Normal 7 2 4 3 4 2 2" xfId="11557"/>
    <cellStyle name="Normal 7 2 4 3 4 3" xfId="11558"/>
    <cellStyle name="Normal 7 2 4 3 5" xfId="11559"/>
    <cellStyle name="Normal 7 2 4 3 5 2" xfId="11560"/>
    <cellStyle name="Normal 7 2 4 3 6" xfId="11561"/>
    <cellStyle name="Normal 7 2 4 4" xfId="11562"/>
    <cellStyle name="Normal 7 2 4 4 2" xfId="11563"/>
    <cellStyle name="Normal 7 2 4 4 2 2" xfId="11564"/>
    <cellStyle name="Normal 7 2 4 4 2 2 2" xfId="11565"/>
    <cellStyle name="Normal 7 2 4 4 2 3" xfId="11566"/>
    <cellStyle name="Normal 7 2 4 4 3" xfId="11567"/>
    <cellStyle name="Normal 7 2 4 4 3 2" xfId="11568"/>
    <cellStyle name="Normal 7 2 4 4 3 2 2" xfId="11569"/>
    <cellStyle name="Normal 7 2 4 4 3 3" xfId="11570"/>
    <cellStyle name="Normal 7 2 4 4 4" xfId="11571"/>
    <cellStyle name="Normal 7 2 4 4 4 2" xfId="11572"/>
    <cellStyle name="Normal 7 2 4 4 5" xfId="11573"/>
    <cellStyle name="Normal 7 2 4 5" xfId="11574"/>
    <cellStyle name="Normal 7 2 4 5 2" xfId="11575"/>
    <cellStyle name="Normal 7 2 4 5 2 2" xfId="11576"/>
    <cellStyle name="Normal 7 2 4 5 3" xfId="11577"/>
    <cellStyle name="Normal 7 2 4 6" xfId="11578"/>
    <cellStyle name="Normal 7 2 4 6 2" xfId="11579"/>
    <cellStyle name="Normal 7 2 4 6 2 2" xfId="11580"/>
    <cellStyle name="Normal 7 2 4 6 3" xfId="11581"/>
    <cellStyle name="Normal 7 2 4 7" xfId="11582"/>
    <cellStyle name="Normal 7 2 4 7 2" xfId="11583"/>
    <cellStyle name="Normal 7 2 4 8" xfId="11584"/>
    <cellStyle name="Normal 7 2 5" xfId="11585"/>
    <cellStyle name="Normal 7 2 5 2" xfId="11586"/>
    <cellStyle name="Normal 7 2 5 2 2" xfId="11587"/>
    <cellStyle name="Normal 7 2 5 2 2 2" xfId="11588"/>
    <cellStyle name="Normal 7 2 5 2 2 2 2" xfId="11589"/>
    <cellStyle name="Normal 7 2 5 2 2 2 2 2" xfId="11590"/>
    <cellStyle name="Normal 7 2 5 2 2 2 3" xfId="11591"/>
    <cellStyle name="Normal 7 2 5 2 2 3" xfId="11592"/>
    <cellStyle name="Normal 7 2 5 2 2 3 2" xfId="11593"/>
    <cellStyle name="Normal 7 2 5 2 2 3 2 2" xfId="11594"/>
    <cellStyle name="Normal 7 2 5 2 2 3 3" xfId="11595"/>
    <cellStyle name="Normal 7 2 5 2 2 4" xfId="11596"/>
    <cellStyle name="Normal 7 2 5 2 2 4 2" xfId="11597"/>
    <cellStyle name="Normal 7 2 5 2 2 5" xfId="11598"/>
    <cellStyle name="Normal 7 2 5 2 3" xfId="11599"/>
    <cellStyle name="Normal 7 2 5 2 3 2" xfId="11600"/>
    <cellStyle name="Normal 7 2 5 2 3 2 2" xfId="11601"/>
    <cellStyle name="Normal 7 2 5 2 3 3" xfId="11602"/>
    <cellStyle name="Normal 7 2 5 2 4" xfId="11603"/>
    <cellStyle name="Normal 7 2 5 2 4 2" xfId="11604"/>
    <cellStyle name="Normal 7 2 5 2 4 2 2" xfId="11605"/>
    <cellStyle name="Normal 7 2 5 2 4 3" xfId="11606"/>
    <cellStyle name="Normal 7 2 5 2 5" xfId="11607"/>
    <cellStyle name="Normal 7 2 5 2 5 2" xfId="11608"/>
    <cellStyle name="Normal 7 2 5 2 6" xfId="11609"/>
    <cellStyle name="Normal 7 2 5 3" xfId="11610"/>
    <cellStyle name="Normal 7 2 5 3 2" xfId="11611"/>
    <cellStyle name="Normal 7 2 5 3 2 2" xfId="11612"/>
    <cellStyle name="Normal 7 2 5 3 2 2 2" xfId="11613"/>
    <cellStyle name="Normal 7 2 5 3 2 3" xfId="11614"/>
    <cellStyle name="Normal 7 2 5 3 3" xfId="11615"/>
    <cellStyle name="Normal 7 2 5 3 3 2" xfId="11616"/>
    <cellStyle name="Normal 7 2 5 3 3 2 2" xfId="11617"/>
    <cellStyle name="Normal 7 2 5 3 3 3" xfId="11618"/>
    <cellStyle name="Normal 7 2 5 3 4" xfId="11619"/>
    <cellStyle name="Normal 7 2 5 3 4 2" xfId="11620"/>
    <cellStyle name="Normal 7 2 5 3 5" xfId="11621"/>
    <cellStyle name="Normal 7 2 5 4" xfId="11622"/>
    <cellStyle name="Normal 7 2 5 4 2" xfId="11623"/>
    <cellStyle name="Normal 7 2 5 4 2 2" xfId="11624"/>
    <cellStyle name="Normal 7 2 5 4 3" xfId="11625"/>
    <cellStyle name="Normal 7 2 5 5" xfId="11626"/>
    <cellStyle name="Normal 7 2 5 5 2" xfId="11627"/>
    <cellStyle name="Normal 7 2 5 5 2 2" xfId="11628"/>
    <cellStyle name="Normal 7 2 5 5 3" xfId="11629"/>
    <cellStyle name="Normal 7 2 5 6" xfId="11630"/>
    <cellStyle name="Normal 7 2 5 6 2" xfId="11631"/>
    <cellStyle name="Normal 7 2 5 7" xfId="11632"/>
    <cellStyle name="Normal 7 2 6" xfId="11633"/>
    <cellStyle name="Normal 7 2 6 2" xfId="11634"/>
    <cellStyle name="Normal 7 2 6 2 2" xfId="11635"/>
    <cellStyle name="Normal 7 2 6 2 2 2" xfId="11636"/>
    <cellStyle name="Normal 7 2 6 2 2 2 2" xfId="11637"/>
    <cellStyle name="Normal 7 2 6 2 2 3" xfId="11638"/>
    <cellStyle name="Normal 7 2 6 2 3" xfId="11639"/>
    <cellStyle name="Normal 7 2 6 2 3 2" xfId="11640"/>
    <cellStyle name="Normal 7 2 6 2 3 2 2" xfId="11641"/>
    <cellStyle name="Normal 7 2 6 2 3 3" xfId="11642"/>
    <cellStyle name="Normal 7 2 6 2 4" xfId="11643"/>
    <cellStyle name="Normal 7 2 6 2 4 2" xfId="11644"/>
    <cellStyle name="Normal 7 2 6 2 5" xfId="11645"/>
    <cellStyle name="Normal 7 2 6 3" xfId="11646"/>
    <cellStyle name="Normal 7 2 6 3 2" xfId="11647"/>
    <cellStyle name="Normal 7 2 6 3 2 2" xfId="11648"/>
    <cellStyle name="Normal 7 2 6 3 3" xfId="11649"/>
    <cellStyle name="Normal 7 2 6 4" xfId="11650"/>
    <cellStyle name="Normal 7 2 6 4 2" xfId="11651"/>
    <cellStyle name="Normal 7 2 6 4 2 2" xfId="11652"/>
    <cellStyle name="Normal 7 2 6 4 3" xfId="11653"/>
    <cellStyle name="Normal 7 2 6 5" xfId="11654"/>
    <cellStyle name="Normal 7 2 6 5 2" xfId="11655"/>
    <cellStyle name="Normal 7 2 6 6" xfId="11656"/>
    <cellStyle name="Normal 7 2 7" xfId="11657"/>
    <cellStyle name="Normal 7 2 7 2" xfId="11658"/>
    <cellStyle name="Normal 7 2 7 2 2" xfId="11659"/>
    <cellStyle name="Normal 7 2 7 2 2 2" xfId="11660"/>
    <cellStyle name="Normal 7 2 7 2 3" xfId="11661"/>
    <cellStyle name="Normal 7 2 7 3" xfId="11662"/>
    <cellStyle name="Normal 7 2 7 3 2" xfId="11663"/>
    <cellStyle name="Normal 7 2 7 3 2 2" xfId="11664"/>
    <cellStyle name="Normal 7 2 7 3 3" xfId="11665"/>
    <cellStyle name="Normal 7 2 7 4" xfId="11666"/>
    <cellStyle name="Normal 7 2 7 4 2" xfId="11667"/>
    <cellStyle name="Normal 7 2 7 5" xfId="11668"/>
    <cellStyle name="Normal 7 2 8" xfId="11669"/>
    <cellStyle name="Normal 7 2 8 2" xfId="11670"/>
    <cellStyle name="Normal 7 2 8 2 2" xfId="11671"/>
    <cellStyle name="Normal 7 2 8 3" xfId="11672"/>
    <cellStyle name="Normal 7 2 9" xfId="11673"/>
    <cellStyle name="Normal 7 2 9 2" xfId="11674"/>
    <cellStyle name="Normal 7 2 9 2 2" xfId="11675"/>
    <cellStyle name="Normal 7 2 9 3" xfId="11676"/>
    <cellStyle name="Normal 7 3" xfId="11677"/>
    <cellStyle name="Normal 7 3 10" xfId="11678"/>
    <cellStyle name="Normal 7 3 11" xfId="11679"/>
    <cellStyle name="Normal 7 3 2" xfId="11680"/>
    <cellStyle name="Normal 7 3 2 2" xfId="11681"/>
    <cellStyle name="Normal 7 3 2 2 2" xfId="11682"/>
    <cellStyle name="Normal 7 3 2 2 2 2" xfId="11683"/>
    <cellStyle name="Normal 7 3 2 2 2 2 2" xfId="11684"/>
    <cellStyle name="Normal 7 3 2 2 2 2 2 2" xfId="11685"/>
    <cellStyle name="Normal 7 3 2 2 2 2 2 2 2" xfId="11686"/>
    <cellStyle name="Normal 7 3 2 2 2 2 2 3" xfId="11687"/>
    <cellStyle name="Normal 7 3 2 2 2 2 3" xfId="11688"/>
    <cellStyle name="Normal 7 3 2 2 2 2 3 2" xfId="11689"/>
    <cellStyle name="Normal 7 3 2 2 2 2 3 2 2" xfId="11690"/>
    <cellStyle name="Normal 7 3 2 2 2 2 3 3" xfId="11691"/>
    <cellStyle name="Normal 7 3 2 2 2 2 4" xfId="11692"/>
    <cellStyle name="Normal 7 3 2 2 2 2 4 2" xfId="11693"/>
    <cellStyle name="Normal 7 3 2 2 2 2 5" xfId="11694"/>
    <cellStyle name="Normal 7 3 2 2 2 3" xfId="11695"/>
    <cellStyle name="Normal 7 3 2 2 2 3 2" xfId="11696"/>
    <cellStyle name="Normal 7 3 2 2 2 3 2 2" xfId="11697"/>
    <cellStyle name="Normal 7 3 2 2 2 3 3" xfId="11698"/>
    <cellStyle name="Normal 7 3 2 2 2 4" xfId="11699"/>
    <cellStyle name="Normal 7 3 2 2 2 4 2" xfId="11700"/>
    <cellStyle name="Normal 7 3 2 2 2 4 2 2" xfId="11701"/>
    <cellStyle name="Normal 7 3 2 2 2 4 3" xfId="11702"/>
    <cellStyle name="Normal 7 3 2 2 2 5" xfId="11703"/>
    <cellStyle name="Normal 7 3 2 2 2 5 2" xfId="11704"/>
    <cellStyle name="Normal 7 3 2 2 2 6" xfId="11705"/>
    <cellStyle name="Normal 7 3 2 2 3" xfId="11706"/>
    <cellStyle name="Normal 7 3 2 2 3 2" xfId="11707"/>
    <cellStyle name="Normal 7 3 2 2 3 2 2" xfId="11708"/>
    <cellStyle name="Normal 7 3 2 2 3 2 2 2" xfId="11709"/>
    <cellStyle name="Normal 7 3 2 2 3 2 3" xfId="11710"/>
    <cellStyle name="Normal 7 3 2 2 3 3" xfId="11711"/>
    <cellStyle name="Normal 7 3 2 2 3 3 2" xfId="11712"/>
    <cellStyle name="Normal 7 3 2 2 3 3 2 2" xfId="11713"/>
    <cellStyle name="Normal 7 3 2 2 3 3 3" xfId="11714"/>
    <cellStyle name="Normal 7 3 2 2 3 4" xfId="11715"/>
    <cellStyle name="Normal 7 3 2 2 3 4 2" xfId="11716"/>
    <cellStyle name="Normal 7 3 2 2 3 5" xfId="11717"/>
    <cellStyle name="Normal 7 3 2 2 4" xfId="11718"/>
    <cellStyle name="Normal 7 3 2 2 4 2" xfId="11719"/>
    <cellStyle name="Normal 7 3 2 2 4 2 2" xfId="11720"/>
    <cellStyle name="Normal 7 3 2 2 4 3" xfId="11721"/>
    <cellStyle name="Normal 7 3 2 2 5" xfId="11722"/>
    <cellStyle name="Normal 7 3 2 2 5 2" xfId="11723"/>
    <cellStyle name="Normal 7 3 2 2 5 2 2" xfId="11724"/>
    <cellStyle name="Normal 7 3 2 2 5 3" xfId="11725"/>
    <cellStyle name="Normal 7 3 2 2 6" xfId="11726"/>
    <cellStyle name="Normal 7 3 2 2 6 2" xfId="11727"/>
    <cellStyle name="Normal 7 3 2 2 7" xfId="11728"/>
    <cellStyle name="Normal 7 3 2 3" xfId="11729"/>
    <cellStyle name="Normal 7 3 2 3 2" xfId="11730"/>
    <cellStyle name="Normal 7 3 2 3 2 2" xfId="11731"/>
    <cellStyle name="Normal 7 3 2 3 2 2 2" xfId="11732"/>
    <cellStyle name="Normal 7 3 2 3 2 2 2 2" xfId="11733"/>
    <cellStyle name="Normal 7 3 2 3 2 2 3" xfId="11734"/>
    <cellStyle name="Normal 7 3 2 3 2 3" xfId="11735"/>
    <cellStyle name="Normal 7 3 2 3 2 3 2" xfId="11736"/>
    <cellStyle name="Normal 7 3 2 3 2 3 2 2" xfId="11737"/>
    <cellStyle name="Normal 7 3 2 3 2 3 3" xfId="11738"/>
    <cellStyle name="Normal 7 3 2 3 2 4" xfId="11739"/>
    <cellStyle name="Normal 7 3 2 3 2 4 2" xfId="11740"/>
    <cellStyle name="Normal 7 3 2 3 2 5" xfId="11741"/>
    <cellStyle name="Normal 7 3 2 3 3" xfId="11742"/>
    <cellStyle name="Normal 7 3 2 3 3 2" xfId="11743"/>
    <cellStyle name="Normal 7 3 2 3 3 2 2" xfId="11744"/>
    <cellStyle name="Normal 7 3 2 3 3 3" xfId="11745"/>
    <cellStyle name="Normal 7 3 2 3 4" xfId="11746"/>
    <cellStyle name="Normal 7 3 2 3 4 2" xfId="11747"/>
    <cellStyle name="Normal 7 3 2 3 4 2 2" xfId="11748"/>
    <cellStyle name="Normal 7 3 2 3 4 3" xfId="11749"/>
    <cellStyle name="Normal 7 3 2 3 5" xfId="11750"/>
    <cellStyle name="Normal 7 3 2 3 5 2" xfId="11751"/>
    <cellStyle name="Normal 7 3 2 3 6" xfId="11752"/>
    <cellStyle name="Normal 7 3 2 4" xfId="11753"/>
    <cellStyle name="Normal 7 3 2 4 2" xfId="11754"/>
    <cellStyle name="Normal 7 3 2 4 2 2" xfId="11755"/>
    <cellStyle name="Normal 7 3 2 4 2 2 2" xfId="11756"/>
    <cellStyle name="Normal 7 3 2 4 2 3" xfId="11757"/>
    <cellStyle name="Normal 7 3 2 4 3" xfId="11758"/>
    <cellStyle name="Normal 7 3 2 4 3 2" xfId="11759"/>
    <cellStyle name="Normal 7 3 2 4 3 2 2" xfId="11760"/>
    <cellStyle name="Normal 7 3 2 4 3 3" xfId="11761"/>
    <cellStyle name="Normal 7 3 2 4 4" xfId="11762"/>
    <cellStyle name="Normal 7 3 2 4 4 2" xfId="11763"/>
    <cellStyle name="Normal 7 3 2 4 5" xfId="11764"/>
    <cellStyle name="Normal 7 3 2 5" xfId="11765"/>
    <cellStyle name="Normal 7 3 2 5 2" xfId="11766"/>
    <cellStyle name="Normal 7 3 2 5 2 2" xfId="11767"/>
    <cellStyle name="Normal 7 3 2 5 3" xfId="11768"/>
    <cellStyle name="Normal 7 3 2 6" xfId="11769"/>
    <cellStyle name="Normal 7 3 2 6 2" xfId="11770"/>
    <cellStyle name="Normal 7 3 2 6 2 2" xfId="11771"/>
    <cellStyle name="Normal 7 3 2 6 3" xfId="11772"/>
    <cellStyle name="Normal 7 3 2 7" xfId="11773"/>
    <cellStyle name="Normal 7 3 2 7 2" xfId="11774"/>
    <cellStyle name="Normal 7 3 2 8" xfId="11775"/>
    <cellStyle name="Normal 7 3 3" xfId="11776"/>
    <cellStyle name="Normal 7 3 3 2" xfId="11777"/>
    <cellStyle name="Normal 7 3 3 2 2" xfId="11778"/>
    <cellStyle name="Normal 7 3 3 2 2 2" xfId="11779"/>
    <cellStyle name="Normal 7 3 3 2 2 2 2" xfId="11780"/>
    <cellStyle name="Normal 7 3 3 2 2 2 2 2" xfId="11781"/>
    <cellStyle name="Normal 7 3 3 2 2 2 3" xfId="11782"/>
    <cellStyle name="Normal 7 3 3 2 2 3" xfId="11783"/>
    <cellStyle name="Normal 7 3 3 2 2 3 2" xfId="11784"/>
    <cellStyle name="Normal 7 3 3 2 2 3 2 2" xfId="11785"/>
    <cellStyle name="Normal 7 3 3 2 2 3 3" xfId="11786"/>
    <cellStyle name="Normal 7 3 3 2 2 4" xfId="11787"/>
    <cellStyle name="Normal 7 3 3 2 2 4 2" xfId="11788"/>
    <cellStyle name="Normal 7 3 3 2 2 5" xfId="11789"/>
    <cellStyle name="Normal 7 3 3 2 3" xfId="11790"/>
    <cellStyle name="Normal 7 3 3 2 3 2" xfId="11791"/>
    <cellStyle name="Normal 7 3 3 2 3 2 2" xfId="11792"/>
    <cellStyle name="Normal 7 3 3 2 3 3" xfId="11793"/>
    <cellStyle name="Normal 7 3 3 2 4" xfId="11794"/>
    <cellStyle name="Normal 7 3 3 2 4 2" xfId="11795"/>
    <cellStyle name="Normal 7 3 3 2 4 2 2" xfId="11796"/>
    <cellStyle name="Normal 7 3 3 2 4 3" xfId="11797"/>
    <cellStyle name="Normal 7 3 3 2 5" xfId="11798"/>
    <cellStyle name="Normal 7 3 3 2 5 2" xfId="11799"/>
    <cellStyle name="Normal 7 3 3 2 6" xfId="11800"/>
    <cellStyle name="Normal 7 3 3 3" xfId="11801"/>
    <cellStyle name="Normal 7 3 3 3 2" xfId="11802"/>
    <cellStyle name="Normal 7 3 3 3 2 2" xfId="11803"/>
    <cellStyle name="Normal 7 3 3 3 2 2 2" xfId="11804"/>
    <cellStyle name="Normal 7 3 3 3 2 3" xfId="11805"/>
    <cellStyle name="Normal 7 3 3 3 3" xfId="11806"/>
    <cellStyle name="Normal 7 3 3 3 3 2" xfId="11807"/>
    <cellStyle name="Normal 7 3 3 3 3 2 2" xfId="11808"/>
    <cellStyle name="Normal 7 3 3 3 3 3" xfId="11809"/>
    <cellStyle name="Normal 7 3 3 3 4" xfId="11810"/>
    <cellStyle name="Normal 7 3 3 3 4 2" xfId="11811"/>
    <cellStyle name="Normal 7 3 3 3 5" xfId="11812"/>
    <cellStyle name="Normal 7 3 3 4" xfId="11813"/>
    <cellStyle name="Normal 7 3 3 4 2" xfId="11814"/>
    <cellStyle name="Normal 7 3 3 4 2 2" xfId="11815"/>
    <cellStyle name="Normal 7 3 3 4 3" xfId="11816"/>
    <cellStyle name="Normal 7 3 3 5" xfId="11817"/>
    <cellStyle name="Normal 7 3 3 5 2" xfId="11818"/>
    <cellStyle name="Normal 7 3 3 5 2 2" xfId="11819"/>
    <cellStyle name="Normal 7 3 3 5 3" xfId="11820"/>
    <cellStyle name="Normal 7 3 3 6" xfId="11821"/>
    <cellStyle name="Normal 7 3 3 6 2" xfId="11822"/>
    <cellStyle name="Normal 7 3 3 7" xfId="11823"/>
    <cellStyle name="Normal 7 3 4" xfId="11824"/>
    <cellStyle name="Normal 7 3 4 2" xfId="11825"/>
    <cellStyle name="Normal 7 3 4 2 2" xfId="11826"/>
    <cellStyle name="Normal 7 3 4 2 2 2" xfId="11827"/>
    <cellStyle name="Normal 7 3 4 2 2 2 2" xfId="11828"/>
    <cellStyle name="Normal 7 3 4 2 2 3" xfId="11829"/>
    <cellStyle name="Normal 7 3 4 2 3" xfId="11830"/>
    <cellStyle name="Normal 7 3 4 2 3 2" xfId="11831"/>
    <cellStyle name="Normal 7 3 4 2 3 2 2" xfId="11832"/>
    <cellStyle name="Normal 7 3 4 2 3 3" xfId="11833"/>
    <cellStyle name="Normal 7 3 4 2 4" xfId="11834"/>
    <cellStyle name="Normal 7 3 4 2 4 2" xfId="11835"/>
    <cellStyle name="Normal 7 3 4 2 5" xfId="11836"/>
    <cellStyle name="Normal 7 3 4 3" xfId="11837"/>
    <cellStyle name="Normal 7 3 4 3 2" xfId="11838"/>
    <cellStyle name="Normal 7 3 4 3 2 2" xfId="11839"/>
    <cellStyle name="Normal 7 3 4 3 3" xfId="11840"/>
    <cellStyle name="Normal 7 3 4 4" xfId="11841"/>
    <cellStyle name="Normal 7 3 4 4 2" xfId="11842"/>
    <cellStyle name="Normal 7 3 4 4 2 2" xfId="11843"/>
    <cellStyle name="Normal 7 3 4 4 3" xfId="11844"/>
    <cellStyle name="Normal 7 3 4 5" xfId="11845"/>
    <cellStyle name="Normal 7 3 4 5 2" xfId="11846"/>
    <cellStyle name="Normal 7 3 4 6" xfId="11847"/>
    <cellStyle name="Normal 7 3 5" xfId="11848"/>
    <cellStyle name="Normal 7 3 5 2" xfId="11849"/>
    <cellStyle name="Normal 7 3 5 2 2" xfId="11850"/>
    <cellStyle name="Normal 7 3 5 2 2 2" xfId="11851"/>
    <cellStyle name="Normal 7 3 5 2 3" xfId="11852"/>
    <cellStyle name="Normal 7 3 5 3" xfId="11853"/>
    <cellStyle name="Normal 7 3 5 3 2" xfId="11854"/>
    <cellStyle name="Normal 7 3 5 3 2 2" xfId="11855"/>
    <cellStyle name="Normal 7 3 5 3 3" xfId="11856"/>
    <cellStyle name="Normal 7 3 5 4" xfId="11857"/>
    <cellStyle name="Normal 7 3 5 4 2" xfId="11858"/>
    <cellStyle name="Normal 7 3 5 5" xfId="11859"/>
    <cellStyle name="Normal 7 3 6" xfId="11860"/>
    <cellStyle name="Normal 7 3 6 2" xfId="11861"/>
    <cellStyle name="Normal 7 3 6 2 2" xfId="11862"/>
    <cellStyle name="Normal 7 3 6 3" xfId="11863"/>
    <cellStyle name="Normal 7 3 7" xfId="11864"/>
    <cellStyle name="Normal 7 3 7 2" xfId="11865"/>
    <cellStyle name="Normal 7 3 7 2 2" xfId="11866"/>
    <cellStyle name="Normal 7 3 7 3" xfId="11867"/>
    <cellStyle name="Normal 7 3 8" xfId="11868"/>
    <cellStyle name="Normal 7 3 8 2" xfId="11869"/>
    <cellStyle name="Normal 7 3 9" xfId="11870"/>
    <cellStyle name="Normal 7 3 9 2" xfId="11871"/>
    <cellStyle name="Normal 7 4" xfId="11872"/>
    <cellStyle name="Normal 7 4 2" xfId="11873"/>
    <cellStyle name="Normal 7 4 2 2" xfId="11874"/>
    <cellStyle name="Normal 7 4 2 2 2" xfId="11875"/>
    <cellStyle name="Normal 7 4 2 2 2 2" xfId="11876"/>
    <cellStyle name="Normal 7 4 2 2 2 2 2" xfId="11877"/>
    <cellStyle name="Normal 7 4 2 2 2 2 2 2" xfId="11878"/>
    <cellStyle name="Normal 7 4 2 2 2 2 3" xfId="11879"/>
    <cellStyle name="Normal 7 4 2 2 2 3" xfId="11880"/>
    <cellStyle name="Normal 7 4 2 2 2 3 2" xfId="11881"/>
    <cellStyle name="Normal 7 4 2 2 2 3 2 2" xfId="11882"/>
    <cellStyle name="Normal 7 4 2 2 2 3 3" xfId="11883"/>
    <cellStyle name="Normal 7 4 2 2 2 4" xfId="11884"/>
    <cellStyle name="Normal 7 4 2 2 2 4 2" xfId="11885"/>
    <cellStyle name="Normal 7 4 2 2 2 5" xfId="11886"/>
    <cellStyle name="Normal 7 4 2 2 3" xfId="11887"/>
    <cellStyle name="Normal 7 4 2 2 3 2" xfId="11888"/>
    <cellStyle name="Normal 7 4 2 2 3 2 2" xfId="11889"/>
    <cellStyle name="Normal 7 4 2 2 3 3" xfId="11890"/>
    <cellStyle name="Normal 7 4 2 2 4" xfId="11891"/>
    <cellStyle name="Normal 7 4 2 2 4 2" xfId="11892"/>
    <cellStyle name="Normal 7 4 2 2 4 2 2" xfId="11893"/>
    <cellStyle name="Normal 7 4 2 2 4 3" xfId="11894"/>
    <cellStyle name="Normal 7 4 2 2 5" xfId="11895"/>
    <cellStyle name="Normal 7 4 2 2 5 2" xfId="11896"/>
    <cellStyle name="Normal 7 4 2 2 6" xfId="11897"/>
    <cellStyle name="Normal 7 4 2 3" xfId="11898"/>
    <cellStyle name="Normal 7 4 2 3 2" xfId="11899"/>
    <cellStyle name="Normal 7 4 2 3 2 2" xfId="11900"/>
    <cellStyle name="Normal 7 4 2 3 2 2 2" xfId="11901"/>
    <cellStyle name="Normal 7 4 2 3 2 3" xfId="11902"/>
    <cellStyle name="Normal 7 4 2 3 3" xfId="11903"/>
    <cellStyle name="Normal 7 4 2 3 3 2" xfId="11904"/>
    <cellStyle name="Normal 7 4 2 3 3 2 2" xfId="11905"/>
    <cellStyle name="Normal 7 4 2 3 3 3" xfId="11906"/>
    <cellStyle name="Normal 7 4 2 3 4" xfId="11907"/>
    <cellStyle name="Normal 7 4 2 3 4 2" xfId="11908"/>
    <cellStyle name="Normal 7 4 2 3 5" xfId="11909"/>
    <cellStyle name="Normal 7 4 2 4" xfId="11910"/>
    <cellStyle name="Normal 7 4 2 4 2" xfId="11911"/>
    <cellStyle name="Normal 7 4 2 4 2 2" xfId="11912"/>
    <cellStyle name="Normal 7 4 2 4 3" xfId="11913"/>
    <cellStyle name="Normal 7 4 2 5" xfId="11914"/>
    <cellStyle name="Normal 7 4 2 5 2" xfId="11915"/>
    <cellStyle name="Normal 7 4 2 5 2 2" xfId="11916"/>
    <cellStyle name="Normal 7 4 2 5 3" xfId="11917"/>
    <cellStyle name="Normal 7 4 2 6" xfId="11918"/>
    <cellStyle name="Normal 7 4 2 6 2" xfId="11919"/>
    <cellStyle name="Normal 7 4 2 7" xfId="11920"/>
    <cellStyle name="Normal 7 4 3" xfId="11921"/>
    <cellStyle name="Normal 7 4 3 2" xfId="11922"/>
    <cellStyle name="Normal 7 4 3 2 2" xfId="11923"/>
    <cellStyle name="Normal 7 4 3 2 2 2" xfId="11924"/>
    <cellStyle name="Normal 7 4 3 2 2 2 2" xfId="11925"/>
    <cellStyle name="Normal 7 4 3 2 2 3" xfId="11926"/>
    <cellStyle name="Normal 7 4 3 2 3" xfId="11927"/>
    <cellStyle name="Normal 7 4 3 2 3 2" xfId="11928"/>
    <cellStyle name="Normal 7 4 3 2 3 2 2" xfId="11929"/>
    <cellStyle name="Normal 7 4 3 2 3 3" xfId="11930"/>
    <cellStyle name="Normal 7 4 3 2 4" xfId="11931"/>
    <cellStyle name="Normal 7 4 3 2 4 2" xfId="11932"/>
    <cellStyle name="Normal 7 4 3 2 5" xfId="11933"/>
    <cellStyle name="Normal 7 4 3 3" xfId="11934"/>
    <cellStyle name="Normal 7 4 3 3 2" xfId="11935"/>
    <cellStyle name="Normal 7 4 3 3 2 2" xfId="11936"/>
    <cellStyle name="Normal 7 4 3 3 3" xfId="11937"/>
    <cellStyle name="Normal 7 4 3 4" xfId="11938"/>
    <cellStyle name="Normal 7 4 3 4 2" xfId="11939"/>
    <cellStyle name="Normal 7 4 3 4 2 2" xfId="11940"/>
    <cellStyle name="Normal 7 4 3 4 3" xfId="11941"/>
    <cellStyle name="Normal 7 4 3 5" xfId="11942"/>
    <cellStyle name="Normal 7 4 3 5 2" xfId="11943"/>
    <cellStyle name="Normal 7 4 3 6" xfId="11944"/>
    <cellStyle name="Normal 7 4 4" xfId="11945"/>
    <cellStyle name="Normal 7 4 4 2" xfId="11946"/>
    <cellStyle name="Normal 7 4 4 2 2" xfId="11947"/>
    <cellStyle name="Normal 7 4 4 2 2 2" xfId="11948"/>
    <cellStyle name="Normal 7 4 4 2 3" xfId="11949"/>
    <cellStyle name="Normal 7 4 4 3" xfId="11950"/>
    <cellStyle name="Normal 7 4 4 3 2" xfId="11951"/>
    <cellStyle name="Normal 7 4 4 3 2 2" xfId="11952"/>
    <cellStyle name="Normal 7 4 4 3 3" xfId="11953"/>
    <cellStyle name="Normal 7 4 4 4" xfId="11954"/>
    <cellStyle name="Normal 7 4 4 4 2" xfId="11955"/>
    <cellStyle name="Normal 7 4 4 5" xfId="11956"/>
    <cellStyle name="Normal 7 4 5" xfId="11957"/>
    <cellStyle name="Normal 7 4 5 2" xfId="11958"/>
    <cellStyle name="Normal 7 4 5 2 2" xfId="11959"/>
    <cellStyle name="Normal 7 4 5 3" xfId="11960"/>
    <cellStyle name="Normal 7 4 6" xfId="11961"/>
    <cellStyle name="Normal 7 4 6 2" xfId="11962"/>
    <cellStyle name="Normal 7 4 6 2 2" xfId="11963"/>
    <cellStyle name="Normal 7 4 6 3" xfId="11964"/>
    <cellStyle name="Normal 7 4 7" xfId="11965"/>
    <cellStyle name="Normal 7 4 7 2" xfId="11966"/>
    <cellStyle name="Normal 7 4 8" xfId="11967"/>
    <cellStyle name="Normal 7 5" xfId="11968"/>
    <cellStyle name="Normal 7 5 2" xfId="11969"/>
    <cellStyle name="Normal 7 5 2 2" xfId="11970"/>
    <cellStyle name="Normal 7 5 2 2 2" xfId="11971"/>
    <cellStyle name="Normal 7 5 2 2 2 2" xfId="11972"/>
    <cellStyle name="Normal 7 5 2 2 2 2 2" xfId="11973"/>
    <cellStyle name="Normal 7 5 2 2 2 2 2 2" xfId="11974"/>
    <cellStyle name="Normal 7 5 2 2 2 2 3" xfId="11975"/>
    <cellStyle name="Normal 7 5 2 2 2 3" xfId="11976"/>
    <cellStyle name="Normal 7 5 2 2 2 3 2" xfId="11977"/>
    <cellStyle name="Normal 7 5 2 2 2 3 2 2" xfId="11978"/>
    <cellStyle name="Normal 7 5 2 2 2 3 3" xfId="11979"/>
    <cellStyle name="Normal 7 5 2 2 2 4" xfId="11980"/>
    <cellStyle name="Normal 7 5 2 2 2 4 2" xfId="11981"/>
    <cellStyle name="Normal 7 5 2 2 2 5" xfId="11982"/>
    <cellStyle name="Normal 7 5 2 2 3" xfId="11983"/>
    <cellStyle name="Normal 7 5 2 2 3 2" xfId="11984"/>
    <cellStyle name="Normal 7 5 2 2 3 2 2" xfId="11985"/>
    <cellStyle name="Normal 7 5 2 2 3 3" xfId="11986"/>
    <cellStyle name="Normal 7 5 2 2 4" xfId="11987"/>
    <cellStyle name="Normal 7 5 2 2 4 2" xfId="11988"/>
    <cellStyle name="Normal 7 5 2 2 4 2 2" xfId="11989"/>
    <cellStyle name="Normal 7 5 2 2 4 3" xfId="11990"/>
    <cellStyle name="Normal 7 5 2 2 5" xfId="11991"/>
    <cellStyle name="Normal 7 5 2 2 5 2" xfId="11992"/>
    <cellStyle name="Normal 7 5 2 2 6" xfId="11993"/>
    <cellStyle name="Normal 7 5 2 3" xfId="11994"/>
    <cellStyle name="Normal 7 5 2 3 2" xfId="11995"/>
    <cellStyle name="Normal 7 5 2 3 2 2" xfId="11996"/>
    <cellStyle name="Normal 7 5 2 3 2 2 2" xfId="11997"/>
    <cellStyle name="Normal 7 5 2 3 2 3" xfId="11998"/>
    <cellStyle name="Normal 7 5 2 3 3" xfId="11999"/>
    <cellStyle name="Normal 7 5 2 3 3 2" xfId="12000"/>
    <cellStyle name="Normal 7 5 2 3 3 2 2" xfId="12001"/>
    <cellStyle name="Normal 7 5 2 3 3 3" xfId="12002"/>
    <cellStyle name="Normal 7 5 2 3 4" xfId="12003"/>
    <cellStyle name="Normal 7 5 2 3 4 2" xfId="12004"/>
    <cellStyle name="Normal 7 5 2 3 5" xfId="12005"/>
    <cellStyle name="Normal 7 5 2 4" xfId="12006"/>
    <cellStyle name="Normal 7 5 2 4 2" xfId="12007"/>
    <cellStyle name="Normal 7 5 2 4 2 2" xfId="12008"/>
    <cellStyle name="Normal 7 5 2 4 3" xfId="12009"/>
    <cellStyle name="Normal 7 5 2 5" xfId="12010"/>
    <cellStyle name="Normal 7 5 2 5 2" xfId="12011"/>
    <cellStyle name="Normal 7 5 2 5 2 2" xfId="12012"/>
    <cellStyle name="Normal 7 5 2 5 3" xfId="12013"/>
    <cellStyle name="Normal 7 5 2 6" xfId="12014"/>
    <cellStyle name="Normal 7 5 2 6 2" xfId="12015"/>
    <cellStyle name="Normal 7 5 2 7" xfId="12016"/>
    <cellStyle name="Normal 7 5 3" xfId="12017"/>
    <cellStyle name="Normal 7 5 3 2" xfId="12018"/>
    <cellStyle name="Normal 7 5 3 2 2" xfId="12019"/>
    <cellStyle name="Normal 7 5 3 2 2 2" xfId="12020"/>
    <cellStyle name="Normal 7 5 3 2 2 2 2" xfId="12021"/>
    <cellStyle name="Normal 7 5 3 2 2 3" xfId="12022"/>
    <cellStyle name="Normal 7 5 3 2 3" xfId="12023"/>
    <cellStyle name="Normal 7 5 3 2 3 2" xfId="12024"/>
    <cellStyle name="Normal 7 5 3 2 3 2 2" xfId="12025"/>
    <cellStyle name="Normal 7 5 3 2 3 3" xfId="12026"/>
    <cellStyle name="Normal 7 5 3 2 4" xfId="12027"/>
    <cellStyle name="Normal 7 5 3 2 4 2" xfId="12028"/>
    <cellStyle name="Normal 7 5 3 2 5" xfId="12029"/>
    <cellStyle name="Normal 7 5 3 3" xfId="12030"/>
    <cellStyle name="Normal 7 5 3 3 2" xfId="12031"/>
    <cellStyle name="Normal 7 5 3 3 2 2" xfId="12032"/>
    <cellStyle name="Normal 7 5 3 3 3" xfId="12033"/>
    <cellStyle name="Normal 7 5 3 4" xfId="12034"/>
    <cellStyle name="Normal 7 5 3 4 2" xfId="12035"/>
    <cellStyle name="Normal 7 5 3 4 2 2" xfId="12036"/>
    <cellStyle name="Normal 7 5 3 4 3" xfId="12037"/>
    <cellStyle name="Normal 7 5 3 5" xfId="12038"/>
    <cellStyle name="Normal 7 5 3 5 2" xfId="12039"/>
    <cellStyle name="Normal 7 5 3 6" xfId="12040"/>
    <cellStyle name="Normal 7 5 4" xfId="12041"/>
    <cellStyle name="Normal 7 5 4 2" xfId="12042"/>
    <cellStyle name="Normal 7 5 4 2 2" xfId="12043"/>
    <cellStyle name="Normal 7 5 4 2 2 2" xfId="12044"/>
    <cellStyle name="Normal 7 5 4 2 3" xfId="12045"/>
    <cellStyle name="Normal 7 5 4 3" xfId="12046"/>
    <cellStyle name="Normal 7 5 4 3 2" xfId="12047"/>
    <cellStyle name="Normal 7 5 4 3 2 2" xfId="12048"/>
    <cellStyle name="Normal 7 5 4 3 3" xfId="12049"/>
    <cellStyle name="Normal 7 5 4 4" xfId="12050"/>
    <cellStyle name="Normal 7 5 4 4 2" xfId="12051"/>
    <cellStyle name="Normal 7 5 4 5" xfId="12052"/>
    <cellStyle name="Normal 7 5 5" xfId="12053"/>
    <cellStyle name="Normal 7 5 5 2" xfId="12054"/>
    <cellStyle name="Normal 7 5 5 2 2" xfId="12055"/>
    <cellStyle name="Normal 7 5 5 3" xfId="12056"/>
    <cellStyle name="Normal 7 5 6" xfId="12057"/>
    <cellStyle name="Normal 7 5 6 2" xfId="12058"/>
    <cellStyle name="Normal 7 5 6 2 2" xfId="12059"/>
    <cellStyle name="Normal 7 5 6 3" xfId="12060"/>
    <cellStyle name="Normal 7 5 7" xfId="12061"/>
    <cellStyle name="Normal 7 5 7 2" xfId="12062"/>
    <cellStyle name="Normal 7 5 8" xfId="12063"/>
    <cellStyle name="Normal 7 6" xfId="12064"/>
    <cellStyle name="Normal 7 6 2" xfId="12065"/>
    <cellStyle name="Normal 7 6 2 2" xfId="12066"/>
    <cellStyle name="Normal 7 6 2 2 2" xfId="12067"/>
    <cellStyle name="Normal 7 6 2 2 2 2" xfId="12068"/>
    <cellStyle name="Normal 7 6 2 2 2 2 2" xfId="12069"/>
    <cellStyle name="Normal 7 6 2 2 2 3" xfId="12070"/>
    <cellStyle name="Normal 7 6 2 2 3" xfId="12071"/>
    <cellStyle name="Normal 7 6 2 2 3 2" xfId="12072"/>
    <cellStyle name="Normal 7 6 2 2 3 2 2" xfId="12073"/>
    <cellStyle name="Normal 7 6 2 2 3 3" xfId="12074"/>
    <cellStyle name="Normal 7 6 2 2 4" xfId="12075"/>
    <cellStyle name="Normal 7 6 2 2 4 2" xfId="12076"/>
    <cellStyle name="Normal 7 6 2 2 5" xfId="12077"/>
    <cellStyle name="Normal 7 6 2 3" xfId="12078"/>
    <cellStyle name="Normal 7 6 2 3 2" xfId="12079"/>
    <cellStyle name="Normal 7 6 2 3 2 2" xfId="12080"/>
    <cellStyle name="Normal 7 6 2 3 3" xfId="12081"/>
    <cellStyle name="Normal 7 6 2 4" xfId="12082"/>
    <cellStyle name="Normal 7 6 2 4 2" xfId="12083"/>
    <cellStyle name="Normal 7 6 2 4 2 2" xfId="12084"/>
    <cellStyle name="Normal 7 6 2 4 3" xfId="12085"/>
    <cellStyle name="Normal 7 6 2 5" xfId="12086"/>
    <cellStyle name="Normal 7 6 2 5 2" xfId="12087"/>
    <cellStyle name="Normal 7 6 2 6" xfId="12088"/>
    <cellStyle name="Normal 7 6 3" xfId="12089"/>
    <cellStyle name="Normal 7 6 3 2" xfId="12090"/>
    <cellStyle name="Normal 7 6 3 2 2" xfId="12091"/>
    <cellStyle name="Normal 7 6 3 2 2 2" xfId="12092"/>
    <cellStyle name="Normal 7 6 3 2 3" xfId="12093"/>
    <cellStyle name="Normal 7 6 3 3" xfId="12094"/>
    <cellStyle name="Normal 7 6 3 3 2" xfId="12095"/>
    <cellStyle name="Normal 7 6 3 3 2 2" xfId="12096"/>
    <cellStyle name="Normal 7 6 3 3 3" xfId="12097"/>
    <cellStyle name="Normal 7 6 3 4" xfId="12098"/>
    <cellStyle name="Normal 7 6 3 4 2" xfId="12099"/>
    <cellStyle name="Normal 7 6 3 5" xfId="12100"/>
    <cellStyle name="Normal 7 6 4" xfId="12101"/>
    <cellStyle name="Normal 7 6 4 2" xfId="12102"/>
    <cellStyle name="Normal 7 6 4 2 2" xfId="12103"/>
    <cellStyle name="Normal 7 6 4 3" xfId="12104"/>
    <cellStyle name="Normal 7 6 5" xfId="12105"/>
    <cellStyle name="Normal 7 6 5 2" xfId="12106"/>
    <cellStyle name="Normal 7 6 5 2 2" xfId="12107"/>
    <cellStyle name="Normal 7 6 5 3" xfId="12108"/>
    <cellStyle name="Normal 7 6 6" xfId="12109"/>
    <cellStyle name="Normal 7 6 6 2" xfId="12110"/>
    <cellStyle name="Normal 7 6 7" xfId="12111"/>
    <cellStyle name="Normal 7 7" xfId="12112"/>
    <cellStyle name="Normal 7 7 2" xfId="12113"/>
    <cellStyle name="Normal 7 7 2 2" xfId="12114"/>
    <cellStyle name="Normal 7 7 2 2 2" xfId="12115"/>
    <cellStyle name="Normal 7 7 2 2 2 2" xfId="12116"/>
    <cellStyle name="Normal 7 7 2 2 3" xfId="12117"/>
    <cellStyle name="Normal 7 7 2 3" xfId="12118"/>
    <cellStyle name="Normal 7 7 2 3 2" xfId="12119"/>
    <cellStyle name="Normal 7 7 2 3 2 2" xfId="12120"/>
    <cellStyle name="Normal 7 7 2 3 3" xfId="12121"/>
    <cellStyle name="Normal 7 7 2 4" xfId="12122"/>
    <cellStyle name="Normal 7 7 2 4 2" xfId="12123"/>
    <cellStyle name="Normal 7 7 2 5" xfId="12124"/>
    <cellStyle name="Normal 7 7 3" xfId="12125"/>
    <cellStyle name="Normal 7 7 3 2" xfId="12126"/>
    <cellStyle name="Normal 7 7 3 2 2" xfId="12127"/>
    <cellStyle name="Normal 7 7 3 3" xfId="12128"/>
    <cellStyle name="Normal 7 7 4" xfId="12129"/>
    <cellStyle name="Normal 7 7 4 2" xfId="12130"/>
    <cellStyle name="Normal 7 7 4 2 2" xfId="12131"/>
    <cellStyle name="Normal 7 7 4 3" xfId="12132"/>
    <cellStyle name="Normal 7 7 5" xfId="12133"/>
    <cellStyle name="Normal 7 7 5 2" xfId="12134"/>
    <cellStyle name="Normal 7 7 6" xfId="12135"/>
    <cellStyle name="Normal 7 8" xfId="12136"/>
    <cellStyle name="Normal 7 8 2" xfId="12137"/>
    <cellStyle name="Normal 7 8 2 2" xfId="12138"/>
    <cellStyle name="Normal 7 8 2 2 2" xfId="12139"/>
    <cellStyle name="Normal 7 8 2 3" xfId="12140"/>
    <cellStyle name="Normal 7 8 3" xfId="12141"/>
    <cellStyle name="Normal 7 8 3 2" xfId="12142"/>
    <cellStyle name="Normal 7 8 3 2 2" xfId="12143"/>
    <cellStyle name="Normal 7 8 3 3" xfId="12144"/>
    <cellStyle name="Normal 7 8 4" xfId="12145"/>
    <cellStyle name="Normal 7 8 4 2" xfId="12146"/>
    <cellStyle name="Normal 7 8 5" xfId="12147"/>
    <cellStyle name="Normal 7 9" xfId="12148"/>
    <cellStyle name="Normal 7 9 2" xfId="12149"/>
    <cellStyle name="Normal 7 9 2 2" xfId="12150"/>
    <cellStyle name="Normal 7 9 3" xfId="12151"/>
    <cellStyle name="Normal 7_2180" xfId="12152"/>
    <cellStyle name="Normal 70" xfId="12153"/>
    <cellStyle name="Normal 70 2" xfId="12154"/>
    <cellStyle name="Normal 70 2 2" xfId="12155"/>
    <cellStyle name="Normal 70 3" xfId="12156"/>
    <cellStyle name="Normal 70 3 2" xfId="12157"/>
    <cellStyle name="Normal 70 4" xfId="12158"/>
    <cellStyle name="Normal 70 5" xfId="12159"/>
    <cellStyle name="Normal 71" xfId="12160"/>
    <cellStyle name="Normal 71 2" xfId="12161"/>
    <cellStyle name="Normal 71 3" xfId="12162"/>
    <cellStyle name="Normal 72" xfId="12163"/>
    <cellStyle name="Normal 72 2" xfId="12164"/>
    <cellStyle name="Normal 72 2 2" xfId="12165"/>
    <cellStyle name="Normal 72 2 2 2" xfId="12166"/>
    <cellStyle name="Normal 72 2 2 2 2" xfId="12167"/>
    <cellStyle name="Normal 72 2 2 2 2 2" xfId="12168"/>
    <cellStyle name="Normal 72 2 2 2 3" xfId="12169"/>
    <cellStyle name="Normal 72 2 2 3" xfId="12170"/>
    <cellStyle name="Normal 72 2 2 3 2" xfId="12171"/>
    <cellStyle name="Normal 72 2 2 3 2 2" xfId="12172"/>
    <cellStyle name="Normal 72 2 2 3 3" xfId="12173"/>
    <cellStyle name="Normal 72 2 2 4" xfId="12174"/>
    <cellStyle name="Normal 72 2 2 4 2" xfId="12175"/>
    <cellStyle name="Normal 72 2 2 5" xfId="12176"/>
    <cellStyle name="Normal 72 2 3" xfId="12177"/>
    <cellStyle name="Normal 72 2 3 2" xfId="12178"/>
    <cellStyle name="Normal 72 2 3 2 2" xfId="12179"/>
    <cellStyle name="Normal 72 2 3 3" xfId="12180"/>
    <cellStyle name="Normal 72 2 4" xfId="12181"/>
    <cellStyle name="Normal 72 2 4 2" xfId="12182"/>
    <cellStyle name="Normal 72 2 4 2 2" xfId="12183"/>
    <cellStyle name="Normal 72 2 4 3" xfId="12184"/>
    <cellStyle name="Normal 72 2 5" xfId="12185"/>
    <cellStyle name="Normal 72 2 5 2" xfId="12186"/>
    <cellStyle name="Normal 72 2 6" xfId="12187"/>
    <cellStyle name="Normal 72 3" xfId="12188"/>
    <cellStyle name="Normal 72 3 2" xfId="12189"/>
    <cellStyle name="Normal 72 3 2 2" xfId="12190"/>
    <cellStyle name="Normal 72 3 2 2 2" xfId="12191"/>
    <cellStyle name="Normal 72 3 2 3" xfId="12192"/>
    <cellStyle name="Normal 72 3 3" xfId="12193"/>
    <cellStyle name="Normal 72 3 3 2" xfId="12194"/>
    <cellStyle name="Normal 72 3 3 2 2" xfId="12195"/>
    <cellStyle name="Normal 72 3 3 3" xfId="12196"/>
    <cellStyle name="Normal 72 3 4" xfId="12197"/>
    <cellStyle name="Normal 72 3 4 2" xfId="12198"/>
    <cellStyle name="Normal 72 3 5" xfId="12199"/>
    <cellStyle name="Normal 72 4" xfId="12200"/>
    <cellStyle name="Normal 72 4 2" xfId="12201"/>
    <cellStyle name="Normal 72 4 2 2" xfId="12202"/>
    <cellStyle name="Normal 72 4 3" xfId="12203"/>
    <cellStyle name="Normal 72 5" xfId="12204"/>
    <cellStyle name="Normal 72 5 2" xfId="12205"/>
    <cellStyle name="Normal 72 5 2 2" xfId="12206"/>
    <cellStyle name="Normal 72 5 3" xfId="12207"/>
    <cellStyle name="Normal 72 6" xfId="12208"/>
    <cellStyle name="Normal 72 6 2" xfId="12209"/>
    <cellStyle name="Normal 72 7" xfId="12210"/>
    <cellStyle name="Normal 72 8" xfId="12211"/>
    <cellStyle name="Normal 73" xfId="12212"/>
    <cellStyle name="Normal 73 2" xfId="12213"/>
    <cellStyle name="Normal 73 2 2" xfId="12214"/>
    <cellStyle name="Normal 73 3" xfId="12215"/>
    <cellStyle name="Normal 73 4" xfId="12216"/>
    <cellStyle name="Normal 74" xfId="12217"/>
    <cellStyle name="Normal 74 2" xfId="12218"/>
    <cellStyle name="Normal 74 3" xfId="12219"/>
    <cellStyle name="Normal 75" xfId="12220"/>
    <cellStyle name="Normal 75 2" xfId="12221"/>
    <cellStyle name="Normal 75 3" xfId="12222"/>
    <cellStyle name="Normal 76" xfId="12223"/>
    <cellStyle name="Normal 76 2" xfId="12224"/>
    <cellStyle name="Normal 76 3" xfId="12225"/>
    <cellStyle name="Normal 77" xfId="12226"/>
    <cellStyle name="Normal 77 2" xfId="12227"/>
    <cellStyle name="Normal 77 3" xfId="12228"/>
    <cellStyle name="Normal 78" xfId="12229"/>
    <cellStyle name="Normal 78 2" xfId="12230"/>
    <cellStyle name="Normal 78 3" xfId="12231"/>
    <cellStyle name="Normal 79" xfId="12232"/>
    <cellStyle name="Normal 79 2" xfId="12233"/>
    <cellStyle name="Normal 79 3" xfId="12234"/>
    <cellStyle name="Normal 8" xfId="12235"/>
    <cellStyle name="Normal 8 10" xfId="12236"/>
    <cellStyle name="Normal 8 10 2" xfId="12237"/>
    <cellStyle name="Normal 8 11" xfId="12238"/>
    <cellStyle name="Normal 8 12" xfId="12239"/>
    <cellStyle name="Normal 8 2" xfId="12240"/>
    <cellStyle name="Normal 8 2 10" xfId="12241"/>
    <cellStyle name="Normal 8 2 11" xfId="12242"/>
    <cellStyle name="Normal 8 2 2" xfId="12243"/>
    <cellStyle name="Normal 8 2 2 2" xfId="12244"/>
    <cellStyle name="Normal 8 2 2 2 2" xfId="12245"/>
    <cellStyle name="Normal 8 2 2 2 2 2" xfId="12246"/>
    <cellStyle name="Normal 8 2 2 2 2 2 2" xfId="12247"/>
    <cellStyle name="Normal 8 2 2 2 2 2 2 2" xfId="12248"/>
    <cellStyle name="Normal 8 2 2 2 2 2 2 2 2" xfId="12249"/>
    <cellStyle name="Normal 8 2 2 2 2 2 2 3" xfId="12250"/>
    <cellStyle name="Normal 8 2 2 2 2 2 3" xfId="12251"/>
    <cellStyle name="Normal 8 2 2 2 2 2 3 2" xfId="12252"/>
    <cellStyle name="Normal 8 2 2 2 2 2 3 2 2" xfId="12253"/>
    <cellStyle name="Normal 8 2 2 2 2 2 3 3" xfId="12254"/>
    <cellStyle name="Normal 8 2 2 2 2 2 4" xfId="12255"/>
    <cellStyle name="Normal 8 2 2 2 2 2 4 2" xfId="12256"/>
    <cellStyle name="Normal 8 2 2 2 2 2 5" xfId="12257"/>
    <cellStyle name="Normal 8 2 2 2 2 3" xfId="12258"/>
    <cellStyle name="Normal 8 2 2 2 2 3 2" xfId="12259"/>
    <cellStyle name="Normal 8 2 2 2 2 3 2 2" xfId="12260"/>
    <cellStyle name="Normal 8 2 2 2 2 3 3" xfId="12261"/>
    <cellStyle name="Normal 8 2 2 2 2 4" xfId="12262"/>
    <cellStyle name="Normal 8 2 2 2 2 4 2" xfId="12263"/>
    <cellStyle name="Normal 8 2 2 2 2 4 2 2" xfId="12264"/>
    <cellStyle name="Normal 8 2 2 2 2 4 3" xfId="12265"/>
    <cellStyle name="Normal 8 2 2 2 2 5" xfId="12266"/>
    <cellStyle name="Normal 8 2 2 2 2 5 2" xfId="12267"/>
    <cellStyle name="Normal 8 2 2 2 2 6" xfId="12268"/>
    <cellStyle name="Normal 8 2 2 2 3" xfId="12269"/>
    <cellStyle name="Normal 8 2 2 2 3 2" xfId="12270"/>
    <cellStyle name="Normal 8 2 2 2 3 2 2" xfId="12271"/>
    <cellStyle name="Normal 8 2 2 2 3 2 2 2" xfId="12272"/>
    <cellStyle name="Normal 8 2 2 2 3 2 3" xfId="12273"/>
    <cellStyle name="Normal 8 2 2 2 3 3" xfId="12274"/>
    <cellStyle name="Normal 8 2 2 2 3 3 2" xfId="12275"/>
    <cellStyle name="Normal 8 2 2 2 3 3 2 2" xfId="12276"/>
    <cellStyle name="Normal 8 2 2 2 3 3 3" xfId="12277"/>
    <cellStyle name="Normal 8 2 2 2 3 4" xfId="12278"/>
    <cellStyle name="Normal 8 2 2 2 3 4 2" xfId="12279"/>
    <cellStyle name="Normal 8 2 2 2 3 5" xfId="12280"/>
    <cellStyle name="Normal 8 2 2 2 4" xfId="12281"/>
    <cellStyle name="Normal 8 2 2 2 4 2" xfId="12282"/>
    <cellStyle name="Normal 8 2 2 2 4 2 2" xfId="12283"/>
    <cellStyle name="Normal 8 2 2 2 4 3" xfId="12284"/>
    <cellStyle name="Normal 8 2 2 2 5" xfId="12285"/>
    <cellStyle name="Normal 8 2 2 2 5 2" xfId="12286"/>
    <cellStyle name="Normal 8 2 2 2 5 2 2" xfId="12287"/>
    <cellStyle name="Normal 8 2 2 2 5 3" xfId="12288"/>
    <cellStyle name="Normal 8 2 2 2 6" xfId="12289"/>
    <cellStyle name="Normal 8 2 2 2 6 2" xfId="12290"/>
    <cellStyle name="Normal 8 2 2 2 7" xfId="12291"/>
    <cellStyle name="Normal 8 2 2 3" xfId="12292"/>
    <cellStyle name="Normal 8 2 2 3 2" xfId="12293"/>
    <cellStyle name="Normal 8 2 2 3 2 2" xfId="12294"/>
    <cellStyle name="Normal 8 2 2 3 2 2 2" xfId="12295"/>
    <cellStyle name="Normal 8 2 2 3 2 2 2 2" xfId="12296"/>
    <cellStyle name="Normal 8 2 2 3 2 2 3" xfId="12297"/>
    <cellStyle name="Normal 8 2 2 3 2 3" xfId="12298"/>
    <cellStyle name="Normal 8 2 2 3 2 3 2" xfId="12299"/>
    <cellStyle name="Normal 8 2 2 3 2 3 2 2" xfId="12300"/>
    <cellStyle name="Normal 8 2 2 3 2 3 3" xfId="12301"/>
    <cellStyle name="Normal 8 2 2 3 2 4" xfId="12302"/>
    <cellStyle name="Normal 8 2 2 3 2 4 2" xfId="12303"/>
    <cellStyle name="Normal 8 2 2 3 2 5" xfId="12304"/>
    <cellStyle name="Normal 8 2 2 3 3" xfId="12305"/>
    <cellStyle name="Normal 8 2 2 3 3 2" xfId="12306"/>
    <cellStyle name="Normal 8 2 2 3 3 2 2" xfId="12307"/>
    <cellStyle name="Normal 8 2 2 3 3 3" xfId="12308"/>
    <cellStyle name="Normal 8 2 2 3 4" xfId="12309"/>
    <cellStyle name="Normal 8 2 2 3 4 2" xfId="12310"/>
    <cellStyle name="Normal 8 2 2 3 4 2 2" xfId="12311"/>
    <cellStyle name="Normal 8 2 2 3 4 3" xfId="12312"/>
    <cellStyle name="Normal 8 2 2 3 5" xfId="12313"/>
    <cellStyle name="Normal 8 2 2 3 5 2" xfId="12314"/>
    <cellStyle name="Normal 8 2 2 3 6" xfId="12315"/>
    <cellStyle name="Normal 8 2 2 4" xfId="12316"/>
    <cellStyle name="Normal 8 2 2 4 2" xfId="12317"/>
    <cellStyle name="Normal 8 2 2 4 2 2" xfId="12318"/>
    <cellStyle name="Normal 8 2 2 4 2 2 2" xfId="12319"/>
    <cellStyle name="Normal 8 2 2 4 2 3" xfId="12320"/>
    <cellStyle name="Normal 8 2 2 4 3" xfId="12321"/>
    <cellStyle name="Normal 8 2 2 4 3 2" xfId="12322"/>
    <cellStyle name="Normal 8 2 2 4 3 2 2" xfId="12323"/>
    <cellStyle name="Normal 8 2 2 4 3 3" xfId="12324"/>
    <cellStyle name="Normal 8 2 2 4 4" xfId="12325"/>
    <cellStyle name="Normal 8 2 2 4 4 2" xfId="12326"/>
    <cellStyle name="Normal 8 2 2 4 5" xfId="12327"/>
    <cellStyle name="Normal 8 2 2 5" xfId="12328"/>
    <cellStyle name="Normal 8 2 2 5 2" xfId="12329"/>
    <cellStyle name="Normal 8 2 2 5 2 2" xfId="12330"/>
    <cellStyle name="Normal 8 2 2 5 3" xfId="12331"/>
    <cellStyle name="Normal 8 2 2 6" xfId="12332"/>
    <cellStyle name="Normal 8 2 2 6 2" xfId="12333"/>
    <cellStyle name="Normal 8 2 2 6 2 2" xfId="12334"/>
    <cellStyle name="Normal 8 2 2 6 3" xfId="12335"/>
    <cellStyle name="Normal 8 2 2 7" xfId="12336"/>
    <cellStyle name="Normal 8 2 2 7 2" xfId="12337"/>
    <cellStyle name="Normal 8 2 2 8" xfId="12338"/>
    <cellStyle name="Normal 8 2 2 9" xfId="12339"/>
    <cellStyle name="Normal 8 2 3" xfId="12340"/>
    <cellStyle name="Normal 8 2 3 2" xfId="12341"/>
    <cellStyle name="Normal 8 2 3 2 2" xfId="12342"/>
    <cellStyle name="Normal 8 2 3 2 2 2" xfId="12343"/>
    <cellStyle name="Normal 8 2 3 2 2 2 2" xfId="12344"/>
    <cellStyle name="Normal 8 2 3 2 2 2 2 2" xfId="12345"/>
    <cellStyle name="Normal 8 2 3 2 2 2 3" xfId="12346"/>
    <cellStyle name="Normal 8 2 3 2 2 3" xfId="12347"/>
    <cellStyle name="Normal 8 2 3 2 2 3 2" xfId="12348"/>
    <cellStyle name="Normal 8 2 3 2 2 3 2 2" xfId="12349"/>
    <cellStyle name="Normal 8 2 3 2 2 3 3" xfId="12350"/>
    <cellStyle name="Normal 8 2 3 2 2 4" xfId="12351"/>
    <cellStyle name="Normal 8 2 3 2 2 4 2" xfId="12352"/>
    <cellStyle name="Normal 8 2 3 2 2 5" xfId="12353"/>
    <cellStyle name="Normal 8 2 3 2 3" xfId="12354"/>
    <cellStyle name="Normal 8 2 3 2 3 2" xfId="12355"/>
    <cellStyle name="Normal 8 2 3 2 3 2 2" xfId="12356"/>
    <cellStyle name="Normal 8 2 3 2 3 3" xfId="12357"/>
    <cellStyle name="Normal 8 2 3 2 4" xfId="12358"/>
    <cellStyle name="Normal 8 2 3 2 4 2" xfId="12359"/>
    <cellStyle name="Normal 8 2 3 2 4 2 2" xfId="12360"/>
    <cellStyle name="Normal 8 2 3 2 4 3" xfId="12361"/>
    <cellStyle name="Normal 8 2 3 2 5" xfId="12362"/>
    <cellStyle name="Normal 8 2 3 2 5 2" xfId="12363"/>
    <cellStyle name="Normal 8 2 3 2 6" xfId="12364"/>
    <cellStyle name="Normal 8 2 3 3" xfId="12365"/>
    <cellStyle name="Normal 8 2 3 3 2" xfId="12366"/>
    <cellStyle name="Normal 8 2 3 3 2 2" xfId="12367"/>
    <cellStyle name="Normal 8 2 3 3 2 2 2" xfId="12368"/>
    <cellStyle name="Normal 8 2 3 3 2 3" xfId="12369"/>
    <cellStyle name="Normal 8 2 3 3 3" xfId="12370"/>
    <cellStyle name="Normal 8 2 3 3 3 2" xfId="12371"/>
    <cellStyle name="Normal 8 2 3 3 3 2 2" xfId="12372"/>
    <cellStyle name="Normal 8 2 3 3 3 3" xfId="12373"/>
    <cellStyle name="Normal 8 2 3 3 4" xfId="12374"/>
    <cellStyle name="Normal 8 2 3 3 4 2" xfId="12375"/>
    <cellStyle name="Normal 8 2 3 3 5" xfId="12376"/>
    <cellStyle name="Normal 8 2 3 4" xfId="12377"/>
    <cellStyle name="Normal 8 2 3 4 2" xfId="12378"/>
    <cellStyle name="Normal 8 2 3 4 2 2" xfId="12379"/>
    <cellStyle name="Normal 8 2 3 4 3" xfId="12380"/>
    <cellStyle name="Normal 8 2 3 5" xfId="12381"/>
    <cellStyle name="Normal 8 2 3 5 2" xfId="12382"/>
    <cellStyle name="Normal 8 2 3 5 2 2" xfId="12383"/>
    <cellStyle name="Normal 8 2 3 5 3" xfId="12384"/>
    <cellStyle name="Normal 8 2 3 6" xfId="12385"/>
    <cellStyle name="Normal 8 2 3 6 2" xfId="12386"/>
    <cellStyle name="Normal 8 2 3 7" xfId="12387"/>
    <cellStyle name="Normal 8 2 4" xfId="12388"/>
    <cellStyle name="Normal 8 2 4 2" xfId="12389"/>
    <cellStyle name="Normal 8 2 4 2 2" xfId="12390"/>
    <cellStyle name="Normal 8 2 4 2 2 2" xfId="12391"/>
    <cellStyle name="Normal 8 2 4 2 2 2 2" xfId="12392"/>
    <cellStyle name="Normal 8 2 4 2 2 3" xfId="12393"/>
    <cellStyle name="Normal 8 2 4 2 3" xfId="12394"/>
    <cellStyle name="Normal 8 2 4 2 3 2" xfId="12395"/>
    <cellStyle name="Normal 8 2 4 2 3 2 2" xfId="12396"/>
    <cellStyle name="Normal 8 2 4 2 3 3" xfId="12397"/>
    <cellStyle name="Normal 8 2 4 2 4" xfId="12398"/>
    <cellStyle name="Normal 8 2 4 2 4 2" xfId="12399"/>
    <cellStyle name="Normal 8 2 4 2 5" xfId="12400"/>
    <cellStyle name="Normal 8 2 4 3" xfId="12401"/>
    <cellStyle name="Normal 8 2 4 3 2" xfId="12402"/>
    <cellStyle name="Normal 8 2 4 3 2 2" xfId="12403"/>
    <cellStyle name="Normal 8 2 4 3 3" xfId="12404"/>
    <cellStyle name="Normal 8 2 4 4" xfId="12405"/>
    <cellStyle name="Normal 8 2 4 4 2" xfId="12406"/>
    <cellStyle name="Normal 8 2 4 4 2 2" xfId="12407"/>
    <cellStyle name="Normal 8 2 4 4 3" xfId="12408"/>
    <cellStyle name="Normal 8 2 4 5" xfId="12409"/>
    <cellStyle name="Normal 8 2 4 5 2" xfId="12410"/>
    <cellStyle name="Normal 8 2 4 6" xfId="12411"/>
    <cellStyle name="Normal 8 2 5" xfId="12412"/>
    <cellStyle name="Normal 8 2 5 2" xfId="12413"/>
    <cellStyle name="Normal 8 2 5 2 2" xfId="12414"/>
    <cellStyle name="Normal 8 2 5 2 2 2" xfId="12415"/>
    <cellStyle name="Normal 8 2 5 2 3" xfId="12416"/>
    <cellStyle name="Normal 8 2 5 3" xfId="12417"/>
    <cellStyle name="Normal 8 2 5 3 2" xfId="12418"/>
    <cellStyle name="Normal 8 2 5 3 2 2" xfId="12419"/>
    <cellStyle name="Normal 8 2 5 3 3" xfId="12420"/>
    <cellStyle name="Normal 8 2 5 4" xfId="12421"/>
    <cellStyle name="Normal 8 2 5 4 2" xfId="12422"/>
    <cellStyle name="Normal 8 2 5 5" xfId="12423"/>
    <cellStyle name="Normal 8 2 6" xfId="12424"/>
    <cellStyle name="Normal 8 2 6 2" xfId="12425"/>
    <cellStyle name="Normal 8 2 6 2 2" xfId="12426"/>
    <cellStyle name="Normal 8 2 6 3" xfId="12427"/>
    <cellStyle name="Normal 8 2 7" xfId="12428"/>
    <cellStyle name="Normal 8 2 7 2" xfId="12429"/>
    <cellStyle name="Normal 8 2 7 2 2" xfId="12430"/>
    <cellStyle name="Normal 8 2 7 3" xfId="12431"/>
    <cellStyle name="Normal 8 2 8" xfId="12432"/>
    <cellStyle name="Normal 8 2 8 2" xfId="12433"/>
    <cellStyle name="Normal 8 2 9" xfId="12434"/>
    <cellStyle name="Normal 8 2 9 2" xfId="12435"/>
    <cellStyle name="Normal 8 3" xfId="12436"/>
    <cellStyle name="Normal 8 3 2" xfId="12437"/>
    <cellStyle name="Normal 8 3 2 2" xfId="12438"/>
    <cellStyle name="Normal 8 3 2 2 2" xfId="12439"/>
    <cellStyle name="Normal 8 3 2 2 2 2" xfId="12440"/>
    <cellStyle name="Normal 8 3 2 2 2 2 2" xfId="12441"/>
    <cellStyle name="Normal 8 3 2 2 2 2 2 2" xfId="12442"/>
    <cellStyle name="Normal 8 3 2 2 2 2 3" xfId="12443"/>
    <cellStyle name="Normal 8 3 2 2 2 3" xfId="12444"/>
    <cellStyle name="Normal 8 3 2 2 2 3 2" xfId="12445"/>
    <cellStyle name="Normal 8 3 2 2 2 3 2 2" xfId="12446"/>
    <cellStyle name="Normal 8 3 2 2 2 3 3" xfId="12447"/>
    <cellStyle name="Normal 8 3 2 2 2 4" xfId="12448"/>
    <cellStyle name="Normal 8 3 2 2 2 4 2" xfId="12449"/>
    <cellStyle name="Normal 8 3 2 2 2 5" xfId="12450"/>
    <cellStyle name="Normal 8 3 2 2 3" xfId="12451"/>
    <cellStyle name="Normal 8 3 2 2 3 2" xfId="12452"/>
    <cellStyle name="Normal 8 3 2 2 3 2 2" xfId="12453"/>
    <cellStyle name="Normal 8 3 2 2 3 3" xfId="12454"/>
    <cellStyle name="Normal 8 3 2 2 4" xfId="12455"/>
    <cellStyle name="Normal 8 3 2 2 4 2" xfId="12456"/>
    <cellStyle name="Normal 8 3 2 2 4 2 2" xfId="12457"/>
    <cellStyle name="Normal 8 3 2 2 4 3" xfId="12458"/>
    <cellStyle name="Normal 8 3 2 2 5" xfId="12459"/>
    <cellStyle name="Normal 8 3 2 2 5 2" xfId="12460"/>
    <cellStyle name="Normal 8 3 2 2 6" xfId="12461"/>
    <cellStyle name="Normal 8 3 2 3" xfId="12462"/>
    <cellStyle name="Normal 8 3 2 3 2" xfId="12463"/>
    <cellStyle name="Normal 8 3 2 3 2 2" xfId="12464"/>
    <cellStyle name="Normal 8 3 2 3 2 2 2" xfId="12465"/>
    <cellStyle name="Normal 8 3 2 3 2 3" xfId="12466"/>
    <cellStyle name="Normal 8 3 2 3 3" xfId="12467"/>
    <cellStyle name="Normal 8 3 2 3 3 2" xfId="12468"/>
    <cellStyle name="Normal 8 3 2 3 3 2 2" xfId="12469"/>
    <cellStyle name="Normal 8 3 2 3 3 3" xfId="12470"/>
    <cellStyle name="Normal 8 3 2 3 4" xfId="12471"/>
    <cellStyle name="Normal 8 3 2 3 4 2" xfId="12472"/>
    <cellStyle name="Normal 8 3 2 3 5" xfId="12473"/>
    <cellStyle name="Normal 8 3 2 4" xfId="12474"/>
    <cellStyle name="Normal 8 3 2 4 2" xfId="12475"/>
    <cellStyle name="Normal 8 3 2 4 2 2" xfId="12476"/>
    <cellStyle name="Normal 8 3 2 4 3" xfId="12477"/>
    <cellStyle name="Normal 8 3 2 5" xfId="12478"/>
    <cellStyle name="Normal 8 3 2 5 2" xfId="12479"/>
    <cellStyle name="Normal 8 3 2 5 2 2" xfId="12480"/>
    <cellStyle name="Normal 8 3 2 5 3" xfId="12481"/>
    <cellStyle name="Normal 8 3 2 6" xfId="12482"/>
    <cellStyle name="Normal 8 3 2 6 2" xfId="12483"/>
    <cellStyle name="Normal 8 3 2 7" xfId="12484"/>
    <cellStyle name="Normal 8 3 3" xfId="12485"/>
    <cellStyle name="Normal 8 3 3 2" xfId="12486"/>
    <cellStyle name="Normal 8 3 3 2 2" xfId="12487"/>
    <cellStyle name="Normal 8 3 3 2 2 2" xfId="12488"/>
    <cellStyle name="Normal 8 3 3 2 2 2 2" xfId="12489"/>
    <cellStyle name="Normal 8 3 3 2 2 3" xfId="12490"/>
    <cellStyle name="Normal 8 3 3 2 3" xfId="12491"/>
    <cellStyle name="Normal 8 3 3 2 3 2" xfId="12492"/>
    <cellStyle name="Normal 8 3 3 2 3 2 2" xfId="12493"/>
    <cellStyle name="Normal 8 3 3 2 3 3" xfId="12494"/>
    <cellStyle name="Normal 8 3 3 2 4" xfId="12495"/>
    <cellStyle name="Normal 8 3 3 2 4 2" xfId="12496"/>
    <cellStyle name="Normal 8 3 3 2 5" xfId="12497"/>
    <cellStyle name="Normal 8 3 3 3" xfId="12498"/>
    <cellStyle name="Normal 8 3 3 3 2" xfId="12499"/>
    <cellStyle name="Normal 8 3 3 3 2 2" xfId="12500"/>
    <cellStyle name="Normal 8 3 3 3 3" xfId="12501"/>
    <cellStyle name="Normal 8 3 3 4" xfId="12502"/>
    <cellStyle name="Normal 8 3 3 4 2" xfId="12503"/>
    <cellStyle name="Normal 8 3 3 4 2 2" xfId="12504"/>
    <cellStyle name="Normal 8 3 3 4 3" xfId="12505"/>
    <cellStyle name="Normal 8 3 3 5" xfId="12506"/>
    <cellStyle name="Normal 8 3 3 5 2" xfId="12507"/>
    <cellStyle name="Normal 8 3 3 6" xfId="12508"/>
    <cellStyle name="Normal 8 3 4" xfId="12509"/>
    <cellStyle name="Normal 8 3 4 2" xfId="12510"/>
    <cellStyle name="Normal 8 3 4 2 2" xfId="12511"/>
    <cellStyle name="Normal 8 3 4 2 2 2" xfId="12512"/>
    <cellStyle name="Normal 8 3 4 2 3" xfId="12513"/>
    <cellStyle name="Normal 8 3 4 3" xfId="12514"/>
    <cellStyle name="Normal 8 3 4 3 2" xfId="12515"/>
    <cellStyle name="Normal 8 3 4 3 2 2" xfId="12516"/>
    <cellStyle name="Normal 8 3 4 3 3" xfId="12517"/>
    <cellStyle name="Normal 8 3 4 4" xfId="12518"/>
    <cellStyle name="Normal 8 3 4 4 2" xfId="12519"/>
    <cellStyle name="Normal 8 3 4 5" xfId="12520"/>
    <cellStyle name="Normal 8 3 5" xfId="12521"/>
    <cellStyle name="Normal 8 3 5 2" xfId="12522"/>
    <cellStyle name="Normal 8 3 5 2 2" xfId="12523"/>
    <cellStyle name="Normal 8 3 5 3" xfId="12524"/>
    <cellStyle name="Normal 8 3 6" xfId="12525"/>
    <cellStyle name="Normal 8 3 6 2" xfId="12526"/>
    <cellStyle name="Normal 8 3 6 2 2" xfId="12527"/>
    <cellStyle name="Normal 8 3 6 3" xfId="12528"/>
    <cellStyle name="Normal 8 3 7" xfId="12529"/>
    <cellStyle name="Normal 8 3 7 2" xfId="12530"/>
    <cellStyle name="Normal 8 3 8" xfId="12531"/>
    <cellStyle name="Normal 8 3 9" xfId="12532"/>
    <cellStyle name="Normal 8 4" xfId="12533"/>
    <cellStyle name="Normal 8 4 2" xfId="12534"/>
    <cellStyle name="Normal 8 4 2 2" xfId="12535"/>
    <cellStyle name="Normal 8 4 2 2 2" xfId="12536"/>
    <cellStyle name="Normal 8 4 2 2 2 2" xfId="12537"/>
    <cellStyle name="Normal 8 4 2 2 2 2 2" xfId="12538"/>
    <cellStyle name="Normal 8 4 2 2 2 2 2 2" xfId="12539"/>
    <cellStyle name="Normal 8 4 2 2 2 2 3" xfId="12540"/>
    <cellStyle name="Normal 8 4 2 2 2 3" xfId="12541"/>
    <cellStyle name="Normal 8 4 2 2 2 3 2" xfId="12542"/>
    <cellStyle name="Normal 8 4 2 2 2 3 2 2" xfId="12543"/>
    <cellStyle name="Normal 8 4 2 2 2 3 3" xfId="12544"/>
    <cellStyle name="Normal 8 4 2 2 2 4" xfId="12545"/>
    <cellStyle name="Normal 8 4 2 2 2 4 2" xfId="12546"/>
    <cellStyle name="Normal 8 4 2 2 2 5" xfId="12547"/>
    <cellStyle name="Normal 8 4 2 2 3" xfId="12548"/>
    <cellStyle name="Normal 8 4 2 2 3 2" xfId="12549"/>
    <cellStyle name="Normal 8 4 2 2 3 2 2" xfId="12550"/>
    <cellStyle name="Normal 8 4 2 2 3 3" xfId="12551"/>
    <cellStyle name="Normal 8 4 2 2 4" xfId="12552"/>
    <cellStyle name="Normal 8 4 2 2 4 2" xfId="12553"/>
    <cellStyle name="Normal 8 4 2 2 4 2 2" xfId="12554"/>
    <cellStyle name="Normal 8 4 2 2 4 3" xfId="12555"/>
    <cellStyle name="Normal 8 4 2 2 5" xfId="12556"/>
    <cellStyle name="Normal 8 4 2 2 5 2" xfId="12557"/>
    <cellStyle name="Normal 8 4 2 2 6" xfId="12558"/>
    <cellStyle name="Normal 8 4 2 3" xfId="12559"/>
    <cellStyle name="Normal 8 4 2 3 2" xfId="12560"/>
    <cellStyle name="Normal 8 4 2 3 2 2" xfId="12561"/>
    <cellStyle name="Normal 8 4 2 3 2 2 2" xfId="12562"/>
    <cellStyle name="Normal 8 4 2 3 2 3" xfId="12563"/>
    <cellStyle name="Normal 8 4 2 3 3" xfId="12564"/>
    <cellStyle name="Normal 8 4 2 3 3 2" xfId="12565"/>
    <cellStyle name="Normal 8 4 2 3 3 2 2" xfId="12566"/>
    <cellStyle name="Normal 8 4 2 3 3 3" xfId="12567"/>
    <cellStyle name="Normal 8 4 2 3 4" xfId="12568"/>
    <cellStyle name="Normal 8 4 2 3 4 2" xfId="12569"/>
    <cellStyle name="Normal 8 4 2 3 5" xfId="12570"/>
    <cellStyle name="Normal 8 4 2 4" xfId="12571"/>
    <cellStyle name="Normal 8 4 2 4 2" xfId="12572"/>
    <cellStyle name="Normal 8 4 2 4 2 2" xfId="12573"/>
    <cellStyle name="Normal 8 4 2 4 3" xfId="12574"/>
    <cellStyle name="Normal 8 4 2 5" xfId="12575"/>
    <cellStyle name="Normal 8 4 2 5 2" xfId="12576"/>
    <cellStyle name="Normal 8 4 2 5 2 2" xfId="12577"/>
    <cellStyle name="Normal 8 4 2 5 3" xfId="12578"/>
    <cellStyle name="Normal 8 4 2 6" xfId="12579"/>
    <cellStyle name="Normal 8 4 2 6 2" xfId="12580"/>
    <cellStyle name="Normal 8 4 2 7" xfId="12581"/>
    <cellStyle name="Normal 8 4 3" xfId="12582"/>
    <cellStyle name="Normal 8 4 3 2" xfId="12583"/>
    <cellStyle name="Normal 8 4 3 2 2" xfId="12584"/>
    <cellStyle name="Normal 8 4 3 2 2 2" xfId="12585"/>
    <cellStyle name="Normal 8 4 3 2 2 2 2" xfId="12586"/>
    <cellStyle name="Normal 8 4 3 2 2 3" xfId="12587"/>
    <cellStyle name="Normal 8 4 3 2 3" xfId="12588"/>
    <cellStyle name="Normal 8 4 3 2 3 2" xfId="12589"/>
    <cellStyle name="Normal 8 4 3 2 3 2 2" xfId="12590"/>
    <cellStyle name="Normal 8 4 3 2 3 3" xfId="12591"/>
    <cellStyle name="Normal 8 4 3 2 4" xfId="12592"/>
    <cellStyle name="Normal 8 4 3 2 4 2" xfId="12593"/>
    <cellStyle name="Normal 8 4 3 2 5" xfId="12594"/>
    <cellStyle name="Normal 8 4 3 3" xfId="12595"/>
    <cellStyle name="Normal 8 4 3 3 2" xfId="12596"/>
    <cellStyle name="Normal 8 4 3 3 2 2" xfId="12597"/>
    <cellStyle name="Normal 8 4 3 3 3" xfId="12598"/>
    <cellStyle name="Normal 8 4 3 4" xfId="12599"/>
    <cellStyle name="Normal 8 4 3 4 2" xfId="12600"/>
    <cellStyle name="Normal 8 4 3 4 2 2" xfId="12601"/>
    <cellStyle name="Normal 8 4 3 4 3" xfId="12602"/>
    <cellStyle name="Normal 8 4 3 5" xfId="12603"/>
    <cellStyle name="Normal 8 4 3 5 2" xfId="12604"/>
    <cellStyle name="Normal 8 4 3 6" xfId="12605"/>
    <cellStyle name="Normal 8 4 4" xfId="12606"/>
    <cellStyle name="Normal 8 4 4 2" xfId="12607"/>
    <cellStyle name="Normal 8 4 4 2 2" xfId="12608"/>
    <cellStyle name="Normal 8 4 4 2 2 2" xfId="12609"/>
    <cellStyle name="Normal 8 4 4 2 3" xfId="12610"/>
    <cellStyle name="Normal 8 4 4 3" xfId="12611"/>
    <cellStyle name="Normal 8 4 4 3 2" xfId="12612"/>
    <cellStyle name="Normal 8 4 4 3 2 2" xfId="12613"/>
    <cellStyle name="Normal 8 4 4 3 3" xfId="12614"/>
    <cellStyle name="Normal 8 4 4 4" xfId="12615"/>
    <cellStyle name="Normal 8 4 4 4 2" xfId="12616"/>
    <cellStyle name="Normal 8 4 4 5" xfId="12617"/>
    <cellStyle name="Normal 8 4 5" xfId="12618"/>
    <cellStyle name="Normal 8 4 5 2" xfId="12619"/>
    <cellStyle name="Normal 8 4 5 2 2" xfId="12620"/>
    <cellStyle name="Normal 8 4 5 3" xfId="12621"/>
    <cellStyle name="Normal 8 4 6" xfId="12622"/>
    <cellStyle name="Normal 8 4 6 2" xfId="12623"/>
    <cellStyle name="Normal 8 4 6 2 2" xfId="12624"/>
    <cellStyle name="Normal 8 4 6 3" xfId="12625"/>
    <cellStyle name="Normal 8 4 7" xfId="12626"/>
    <cellStyle name="Normal 8 4 7 2" xfId="12627"/>
    <cellStyle name="Normal 8 4 8" xfId="12628"/>
    <cellStyle name="Normal 8 5" xfId="12629"/>
    <cellStyle name="Normal 8 5 2" xfId="12630"/>
    <cellStyle name="Normal 8 5 2 2" xfId="12631"/>
    <cellStyle name="Normal 8 5 2 2 2" xfId="12632"/>
    <cellStyle name="Normal 8 5 2 2 2 2" xfId="12633"/>
    <cellStyle name="Normal 8 5 2 2 2 2 2" xfId="12634"/>
    <cellStyle name="Normal 8 5 2 2 2 3" xfId="12635"/>
    <cellStyle name="Normal 8 5 2 2 3" xfId="12636"/>
    <cellStyle name="Normal 8 5 2 2 3 2" xfId="12637"/>
    <cellStyle name="Normal 8 5 2 2 3 2 2" xfId="12638"/>
    <cellStyle name="Normal 8 5 2 2 3 3" xfId="12639"/>
    <cellStyle name="Normal 8 5 2 2 4" xfId="12640"/>
    <cellStyle name="Normal 8 5 2 2 4 2" xfId="12641"/>
    <cellStyle name="Normal 8 5 2 2 5" xfId="12642"/>
    <cellStyle name="Normal 8 5 2 3" xfId="12643"/>
    <cellStyle name="Normal 8 5 2 3 2" xfId="12644"/>
    <cellStyle name="Normal 8 5 2 3 2 2" xfId="12645"/>
    <cellStyle name="Normal 8 5 2 3 3" xfId="12646"/>
    <cellStyle name="Normal 8 5 2 4" xfId="12647"/>
    <cellStyle name="Normal 8 5 2 4 2" xfId="12648"/>
    <cellStyle name="Normal 8 5 2 4 2 2" xfId="12649"/>
    <cellStyle name="Normal 8 5 2 4 3" xfId="12650"/>
    <cellStyle name="Normal 8 5 2 5" xfId="12651"/>
    <cellStyle name="Normal 8 5 2 5 2" xfId="12652"/>
    <cellStyle name="Normal 8 5 2 6" xfId="12653"/>
    <cellStyle name="Normal 8 5 3" xfId="12654"/>
    <cellStyle name="Normal 8 5 3 2" xfId="12655"/>
    <cellStyle name="Normal 8 5 3 2 2" xfId="12656"/>
    <cellStyle name="Normal 8 5 3 2 2 2" xfId="12657"/>
    <cellStyle name="Normal 8 5 3 2 3" xfId="12658"/>
    <cellStyle name="Normal 8 5 3 3" xfId="12659"/>
    <cellStyle name="Normal 8 5 3 3 2" xfId="12660"/>
    <cellStyle name="Normal 8 5 3 3 2 2" xfId="12661"/>
    <cellStyle name="Normal 8 5 3 3 3" xfId="12662"/>
    <cellStyle name="Normal 8 5 3 4" xfId="12663"/>
    <cellStyle name="Normal 8 5 3 4 2" xfId="12664"/>
    <cellStyle name="Normal 8 5 3 5" xfId="12665"/>
    <cellStyle name="Normal 8 5 4" xfId="12666"/>
    <cellStyle name="Normal 8 5 4 2" xfId="12667"/>
    <cellStyle name="Normal 8 5 4 2 2" xfId="12668"/>
    <cellStyle name="Normal 8 5 4 3" xfId="12669"/>
    <cellStyle name="Normal 8 5 5" xfId="12670"/>
    <cellStyle name="Normal 8 5 5 2" xfId="12671"/>
    <cellStyle name="Normal 8 5 5 2 2" xfId="12672"/>
    <cellStyle name="Normal 8 5 5 3" xfId="12673"/>
    <cellStyle name="Normal 8 5 6" xfId="12674"/>
    <cellStyle name="Normal 8 5 6 2" xfId="12675"/>
    <cellStyle name="Normal 8 5 7" xfId="12676"/>
    <cellStyle name="Normal 8 6" xfId="12677"/>
    <cellStyle name="Normal 8 6 2" xfId="12678"/>
    <cellStyle name="Normal 8 6 2 2" xfId="12679"/>
    <cellStyle name="Normal 8 6 2 2 2" xfId="12680"/>
    <cellStyle name="Normal 8 6 2 2 2 2" xfId="12681"/>
    <cellStyle name="Normal 8 6 2 2 3" xfId="12682"/>
    <cellStyle name="Normal 8 6 2 3" xfId="12683"/>
    <cellStyle name="Normal 8 6 2 3 2" xfId="12684"/>
    <cellStyle name="Normal 8 6 2 3 2 2" xfId="12685"/>
    <cellStyle name="Normal 8 6 2 3 3" xfId="12686"/>
    <cellStyle name="Normal 8 6 2 4" xfId="12687"/>
    <cellStyle name="Normal 8 6 2 4 2" xfId="12688"/>
    <cellStyle name="Normal 8 6 2 5" xfId="12689"/>
    <cellStyle name="Normal 8 6 3" xfId="12690"/>
    <cellStyle name="Normal 8 6 3 2" xfId="12691"/>
    <cellStyle name="Normal 8 6 3 2 2" xfId="12692"/>
    <cellStyle name="Normal 8 6 3 3" xfId="12693"/>
    <cellStyle name="Normal 8 6 4" xfId="12694"/>
    <cellStyle name="Normal 8 6 4 2" xfId="12695"/>
    <cellStyle name="Normal 8 6 4 2 2" xfId="12696"/>
    <cellStyle name="Normal 8 6 4 3" xfId="12697"/>
    <cellStyle name="Normal 8 6 5" xfId="12698"/>
    <cellStyle name="Normal 8 6 5 2" xfId="12699"/>
    <cellStyle name="Normal 8 6 6" xfId="12700"/>
    <cellStyle name="Normal 8 7" xfId="12701"/>
    <cellStyle name="Normal 8 7 2" xfId="12702"/>
    <cellStyle name="Normal 8 7 2 2" xfId="12703"/>
    <cellStyle name="Normal 8 7 2 2 2" xfId="12704"/>
    <cellStyle name="Normal 8 7 2 3" xfId="12705"/>
    <cellStyle name="Normal 8 7 3" xfId="12706"/>
    <cellStyle name="Normal 8 7 3 2" xfId="12707"/>
    <cellStyle name="Normal 8 7 3 2 2" xfId="12708"/>
    <cellStyle name="Normal 8 7 3 3" xfId="12709"/>
    <cellStyle name="Normal 8 7 4" xfId="12710"/>
    <cellStyle name="Normal 8 7 4 2" xfId="12711"/>
    <cellStyle name="Normal 8 7 5" xfId="12712"/>
    <cellStyle name="Normal 8 8" xfId="12713"/>
    <cellStyle name="Normal 8 8 2" xfId="12714"/>
    <cellStyle name="Normal 8 8 2 2" xfId="12715"/>
    <cellStyle name="Normal 8 8 3" xfId="12716"/>
    <cellStyle name="Normal 8 9" xfId="12717"/>
    <cellStyle name="Normal 8 9 2" xfId="12718"/>
    <cellStyle name="Normal 8 9 2 2" xfId="12719"/>
    <cellStyle name="Normal 8 9 3" xfId="12720"/>
    <cellStyle name="Normal 8_2180" xfId="12721"/>
    <cellStyle name="Normal 80" xfId="12722"/>
    <cellStyle name="Normal 80 2" xfId="12723"/>
    <cellStyle name="Normal 80 3" xfId="12724"/>
    <cellStyle name="Normal 81" xfId="12725"/>
    <cellStyle name="Normal 81 2" xfId="12726"/>
    <cellStyle name="Normal 81 2 2" xfId="12727"/>
    <cellStyle name="Normal 81 2 2 2" xfId="12728"/>
    <cellStyle name="Normal 81 2 2 2 2" xfId="12729"/>
    <cellStyle name="Normal 81 2 2 3" xfId="12730"/>
    <cellStyle name="Normal 81 2 3" xfId="12731"/>
    <cellStyle name="Normal 81 2 3 2" xfId="12732"/>
    <cellStyle name="Normal 81 2 3 2 2" xfId="12733"/>
    <cellStyle name="Normal 81 2 3 3" xfId="12734"/>
    <cellStyle name="Normal 81 2 4" xfId="12735"/>
    <cellStyle name="Normal 81 2 4 2" xfId="12736"/>
    <cellStyle name="Normal 81 2 5" xfId="12737"/>
    <cellStyle name="Normal 81 3" xfId="12738"/>
    <cellStyle name="Normal 81 3 2" xfId="12739"/>
    <cellStyle name="Normal 81 3 2 2" xfId="12740"/>
    <cellStyle name="Normal 81 3 3" xfId="12741"/>
    <cellStyle name="Normal 81 4" xfId="12742"/>
    <cellStyle name="Normal 81 4 2" xfId="12743"/>
    <cellStyle name="Normal 81 4 2 2" xfId="12744"/>
    <cellStyle name="Normal 81 4 3" xfId="12745"/>
    <cellStyle name="Normal 81 5" xfId="12746"/>
    <cellStyle name="Normal 81 5 2" xfId="12747"/>
    <cellStyle name="Normal 81 6" xfId="12748"/>
    <cellStyle name="Normal 81 7" xfId="12749"/>
    <cellStyle name="Normal 82" xfId="12750"/>
    <cellStyle name="Normal 82 2" xfId="12751"/>
    <cellStyle name="Normal 82 2 2" xfId="12752"/>
    <cellStyle name="Normal 82 2 2 2" xfId="12753"/>
    <cellStyle name="Normal 82 2 2 2 2" xfId="12754"/>
    <cellStyle name="Normal 82 2 2 3" xfId="12755"/>
    <cellStyle name="Normal 82 2 3" xfId="12756"/>
    <cellStyle name="Normal 82 2 3 2" xfId="12757"/>
    <cellStyle name="Normal 82 2 3 2 2" xfId="12758"/>
    <cellStyle name="Normal 82 2 3 3" xfId="12759"/>
    <cellStyle name="Normal 82 2 4" xfId="12760"/>
    <cellStyle name="Normal 82 2 4 2" xfId="12761"/>
    <cellStyle name="Normal 82 2 5" xfId="12762"/>
    <cellStyle name="Normal 82 3" xfId="12763"/>
    <cellStyle name="Normal 82 3 2" xfId="12764"/>
    <cellStyle name="Normal 82 3 2 2" xfId="12765"/>
    <cellStyle name="Normal 82 3 3" xfId="12766"/>
    <cellStyle name="Normal 82 4" xfId="12767"/>
    <cellStyle name="Normal 82 4 2" xfId="12768"/>
    <cellStyle name="Normal 82 4 2 2" xfId="12769"/>
    <cellStyle name="Normal 82 4 3" xfId="12770"/>
    <cellStyle name="Normal 82 5" xfId="12771"/>
    <cellStyle name="Normal 82 5 2" xfId="12772"/>
    <cellStyle name="Normal 82 6" xfId="12773"/>
    <cellStyle name="Normal 82 7" xfId="12774"/>
    <cellStyle name="Normal 83" xfId="12775"/>
    <cellStyle name="Normal 83 2" xfId="12776"/>
    <cellStyle name="Normal 83 3" xfId="12777"/>
    <cellStyle name="Normal 84" xfId="12778"/>
    <cellStyle name="Normal 84 2" xfId="12779"/>
    <cellStyle name="Normal 84 2 2" xfId="12780"/>
    <cellStyle name="Normal 84 2 2 2" xfId="12781"/>
    <cellStyle name="Normal 84 2 2 2 2" xfId="12782"/>
    <cellStyle name="Normal 84 2 2 3" xfId="12783"/>
    <cellStyle name="Normal 84 2 3" xfId="12784"/>
    <cellStyle name="Normal 84 2 3 2" xfId="12785"/>
    <cellStyle name="Normal 84 2 3 2 2" xfId="12786"/>
    <cellStyle name="Normal 84 2 3 3" xfId="12787"/>
    <cellStyle name="Normal 84 2 4" xfId="12788"/>
    <cellStyle name="Normal 84 2 4 2" xfId="12789"/>
    <cellStyle name="Normal 84 2 5" xfId="12790"/>
    <cellStyle name="Normal 84 2 6" xfId="12791"/>
    <cellStyle name="Normal 84 3" xfId="12792"/>
    <cellStyle name="Normal 84 3 2" xfId="12793"/>
    <cellStyle name="Normal 84 3 2 2" xfId="12794"/>
    <cellStyle name="Normal 84 3 3" xfId="12795"/>
    <cellStyle name="Normal 84 3 4" xfId="12796"/>
    <cellStyle name="Normal 84 4" xfId="12797"/>
    <cellStyle name="Normal 84 4 2" xfId="12798"/>
    <cellStyle name="Normal 84 4 2 2" xfId="12799"/>
    <cellStyle name="Normal 84 4 3" xfId="12800"/>
    <cellStyle name="Normal 84 5" xfId="12801"/>
    <cellStyle name="Normal 84 5 2" xfId="12802"/>
    <cellStyle name="Normal 84 6" xfId="12803"/>
    <cellStyle name="Normal 84 7" xfId="12804"/>
    <cellStyle name="Normal 85" xfId="12805"/>
    <cellStyle name="Normal 85 2" xfId="12806"/>
    <cellStyle name="Normal 85 2 2" xfId="12807"/>
    <cellStyle name="Normal 85 2 2 2" xfId="12808"/>
    <cellStyle name="Normal 85 2 3" xfId="12809"/>
    <cellStyle name="Normal 85 2 4" xfId="12810"/>
    <cellStyle name="Normal 85 3" xfId="12811"/>
    <cellStyle name="Normal 85 3 2" xfId="12812"/>
    <cellStyle name="Normal 85 3 2 2" xfId="12813"/>
    <cellStyle name="Normal 85 3 3" xfId="12814"/>
    <cellStyle name="Normal 85 3 4" xfId="12815"/>
    <cellStyle name="Normal 85 4" xfId="12816"/>
    <cellStyle name="Normal 85 4 2" xfId="12817"/>
    <cellStyle name="Normal 85 5" xfId="12818"/>
    <cellStyle name="Normal 85 6" xfId="12819"/>
    <cellStyle name="Normal 86" xfId="12820"/>
    <cellStyle name="Normal 86 2" xfId="12821"/>
    <cellStyle name="Normal 86 2 2" xfId="12822"/>
    <cellStyle name="Normal 86 3" xfId="12823"/>
    <cellStyle name="Normal 86 3 2" xfId="12824"/>
    <cellStyle name="Normal 86 4" xfId="12825"/>
    <cellStyle name="Normal 86 5" xfId="12826"/>
    <cellStyle name="Normal 87" xfId="12827"/>
    <cellStyle name="Normal 87 2" xfId="12828"/>
    <cellStyle name="Normal 87 2 2" xfId="12829"/>
    <cellStyle name="Normal 87 3" xfId="12830"/>
    <cellStyle name="Normal 87 4" xfId="12831"/>
    <cellStyle name="Normal 88" xfId="12832"/>
    <cellStyle name="Normal 88 2" xfId="12833"/>
    <cellStyle name="Normal 88 2 2" xfId="12834"/>
    <cellStyle name="Normal 88 3" xfId="12835"/>
    <cellStyle name="Normal 88 4" xfId="12836"/>
    <cellStyle name="Normal 89" xfId="12837"/>
    <cellStyle name="Normal 89 2" xfId="12838"/>
    <cellStyle name="Normal 89 3" xfId="12839"/>
    <cellStyle name="Normal 9" xfId="12840"/>
    <cellStyle name="Normal 9 10" xfId="12841"/>
    <cellStyle name="Normal 9 10 2" xfId="12842"/>
    <cellStyle name="Normal 9 11" xfId="12843"/>
    <cellStyle name="Normal 9 11 2" xfId="12844"/>
    <cellStyle name="Normal 9 12" xfId="12845"/>
    <cellStyle name="Normal 9 12 2" xfId="12846"/>
    <cellStyle name="Normal 9 13" xfId="12847"/>
    <cellStyle name="Normal 9 13 2" xfId="12848"/>
    <cellStyle name="Normal 9 14" xfId="12849"/>
    <cellStyle name="Normal 9 15" xfId="12850"/>
    <cellStyle name="Normal 9 2" xfId="12851"/>
    <cellStyle name="Normal 9 2 10" xfId="12852"/>
    <cellStyle name="Normal 9 2 10 2" xfId="12853"/>
    <cellStyle name="Normal 9 2 11" xfId="12854"/>
    <cellStyle name="Normal 9 2 11 2" xfId="12855"/>
    <cellStyle name="Normal 9 2 12" xfId="12856"/>
    <cellStyle name="Normal 9 2 12 2" xfId="12857"/>
    <cellStyle name="Normal 9 2 13" xfId="12858"/>
    <cellStyle name="Normal 9 2 14" xfId="12859"/>
    <cellStyle name="Normal 9 2 2" xfId="12860"/>
    <cellStyle name="Normal 9 2 2 2" xfId="12861"/>
    <cellStyle name="Normal 9 2 2 2 2" xfId="12862"/>
    <cellStyle name="Normal 9 2 2 2 2 2" xfId="12863"/>
    <cellStyle name="Normal 9 2 2 2 2 2 2" xfId="12864"/>
    <cellStyle name="Normal 9 2 2 2 2 2 2 2" xfId="12865"/>
    <cellStyle name="Normal 9 2 2 2 2 2 2 2 2" xfId="12866"/>
    <cellStyle name="Normal 9 2 2 2 2 2 2 3" xfId="12867"/>
    <cellStyle name="Normal 9 2 2 2 2 2 3" xfId="12868"/>
    <cellStyle name="Normal 9 2 2 2 2 2 3 2" xfId="12869"/>
    <cellStyle name="Normal 9 2 2 2 2 2 3 2 2" xfId="12870"/>
    <cellStyle name="Normal 9 2 2 2 2 2 3 3" xfId="12871"/>
    <cellStyle name="Normal 9 2 2 2 2 2 4" xfId="12872"/>
    <cellStyle name="Normal 9 2 2 2 2 2 4 2" xfId="12873"/>
    <cellStyle name="Normal 9 2 2 2 2 2 5" xfId="12874"/>
    <cellStyle name="Normal 9 2 2 2 2 3" xfId="12875"/>
    <cellStyle name="Normal 9 2 2 2 2 3 2" xfId="12876"/>
    <cellStyle name="Normal 9 2 2 2 2 3 2 2" xfId="12877"/>
    <cellStyle name="Normal 9 2 2 2 2 3 3" xfId="12878"/>
    <cellStyle name="Normal 9 2 2 2 2 4" xfId="12879"/>
    <cellStyle name="Normal 9 2 2 2 2 4 2" xfId="12880"/>
    <cellStyle name="Normal 9 2 2 2 2 4 2 2" xfId="12881"/>
    <cellStyle name="Normal 9 2 2 2 2 4 3" xfId="12882"/>
    <cellStyle name="Normal 9 2 2 2 2 5" xfId="12883"/>
    <cellStyle name="Normal 9 2 2 2 2 5 2" xfId="12884"/>
    <cellStyle name="Normal 9 2 2 2 2 6" xfId="12885"/>
    <cellStyle name="Normal 9 2 2 2 3" xfId="12886"/>
    <cellStyle name="Normal 9 2 2 2 3 2" xfId="12887"/>
    <cellStyle name="Normal 9 2 2 2 3 2 2" xfId="12888"/>
    <cellStyle name="Normal 9 2 2 2 3 2 2 2" xfId="12889"/>
    <cellStyle name="Normal 9 2 2 2 3 2 3" xfId="12890"/>
    <cellStyle name="Normal 9 2 2 2 3 3" xfId="12891"/>
    <cellStyle name="Normal 9 2 2 2 3 3 2" xfId="12892"/>
    <cellStyle name="Normal 9 2 2 2 3 3 2 2" xfId="12893"/>
    <cellStyle name="Normal 9 2 2 2 3 3 3" xfId="12894"/>
    <cellStyle name="Normal 9 2 2 2 3 4" xfId="12895"/>
    <cellStyle name="Normal 9 2 2 2 3 4 2" xfId="12896"/>
    <cellStyle name="Normal 9 2 2 2 3 5" xfId="12897"/>
    <cellStyle name="Normal 9 2 2 2 4" xfId="12898"/>
    <cellStyle name="Normal 9 2 2 2 4 2" xfId="12899"/>
    <cellStyle name="Normal 9 2 2 2 4 2 2" xfId="12900"/>
    <cellStyle name="Normal 9 2 2 2 4 3" xfId="12901"/>
    <cellStyle name="Normal 9 2 2 2 5" xfId="12902"/>
    <cellStyle name="Normal 9 2 2 2 5 2" xfId="12903"/>
    <cellStyle name="Normal 9 2 2 2 5 2 2" xfId="12904"/>
    <cellStyle name="Normal 9 2 2 2 5 3" xfId="12905"/>
    <cellStyle name="Normal 9 2 2 2 6" xfId="12906"/>
    <cellStyle name="Normal 9 2 2 2 6 2" xfId="12907"/>
    <cellStyle name="Normal 9 2 2 2 7" xfId="12908"/>
    <cellStyle name="Normal 9 2 2 3" xfId="12909"/>
    <cellStyle name="Normal 9 2 2 3 2" xfId="12910"/>
    <cellStyle name="Normal 9 2 2 3 2 2" xfId="12911"/>
    <cellStyle name="Normal 9 2 2 3 2 2 2" xfId="12912"/>
    <cellStyle name="Normal 9 2 2 3 2 2 2 2" xfId="12913"/>
    <cellStyle name="Normal 9 2 2 3 2 2 3" xfId="12914"/>
    <cellStyle name="Normal 9 2 2 3 2 3" xfId="12915"/>
    <cellStyle name="Normal 9 2 2 3 2 3 2" xfId="12916"/>
    <cellStyle name="Normal 9 2 2 3 2 3 2 2" xfId="12917"/>
    <cellStyle name="Normal 9 2 2 3 2 3 3" xfId="12918"/>
    <cellStyle name="Normal 9 2 2 3 2 4" xfId="12919"/>
    <cellStyle name="Normal 9 2 2 3 2 4 2" xfId="12920"/>
    <cellStyle name="Normal 9 2 2 3 2 5" xfId="12921"/>
    <cellStyle name="Normal 9 2 2 3 3" xfId="12922"/>
    <cellStyle name="Normal 9 2 2 3 3 2" xfId="12923"/>
    <cellStyle name="Normal 9 2 2 3 3 2 2" xfId="12924"/>
    <cellStyle name="Normal 9 2 2 3 3 3" xfId="12925"/>
    <cellStyle name="Normal 9 2 2 3 4" xfId="12926"/>
    <cellStyle name="Normal 9 2 2 3 4 2" xfId="12927"/>
    <cellStyle name="Normal 9 2 2 3 4 2 2" xfId="12928"/>
    <cellStyle name="Normal 9 2 2 3 4 3" xfId="12929"/>
    <cellStyle name="Normal 9 2 2 3 5" xfId="12930"/>
    <cellStyle name="Normal 9 2 2 3 5 2" xfId="12931"/>
    <cellStyle name="Normal 9 2 2 3 6" xfId="12932"/>
    <cellStyle name="Normal 9 2 2 4" xfId="12933"/>
    <cellStyle name="Normal 9 2 2 4 2" xfId="12934"/>
    <cellStyle name="Normal 9 2 2 4 2 2" xfId="12935"/>
    <cellStyle name="Normal 9 2 2 4 2 2 2" xfId="12936"/>
    <cellStyle name="Normal 9 2 2 4 2 3" xfId="12937"/>
    <cellStyle name="Normal 9 2 2 4 3" xfId="12938"/>
    <cellStyle name="Normal 9 2 2 4 3 2" xfId="12939"/>
    <cellStyle name="Normal 9 2 2 4 3 2 2" xfId="12940"/>
    <cellStyle name="Normal 9 2 2 4 3 3" xfId="12941"/>
    <cellStyle name="Normal 9 2 2 4 4" xfId="12942"/>
    <cellStyle name="Normal 9 2 2 4 4 2" xfId="12943"/>
    <cellStyle name="Normal 9 2 2 4 5" xfId="12944"/>
    <cellStyle name="Normal 9 2 2 5" xfId="12945"/>
    <cellStyle name="Normal 9 2 2 5 2" xfId="12946"/>
    <cellStyle name="Normal 9 2 2 5 2 2" xfId="12947"/>
    <cellStyle name="Normal 9 2 2 5 3" xfId="12948"/>
    <cellStyle name="Normal 9 2 2 6" xfId="12949"/>
    <cellStyle name="Normal 9 2 2 6 2" xfId="12950"/>
    <cellStyle name="Normal 9 2 2 6 2 2" xfId="12951"/>
    <cellStyle name="Normal 9 2 2 6 3" xfId="12952"/>
    <cellStyle name="Normal 9 2 2 7" xfId="12953"/>
    <cellStyle name="Normal 9 2 2 7 2" xfId="12954"/>
    <cellStyle name="Normal 9 2 2 8" xfId="12955"/>
    <cellStyle name="Normal 9 2 2 9" xfId="12956"/>
    <cellStyle name="Normal 9 2 3" xfId="12957"/>
    <cellStyle name="Normal 9 2 3 2" xfId="12958"/>
    <cellStyle name="Normal 9 2 3 2 2" xfId="12959"/>
    <cellStyle name="Normal 9 2 3 2 2 2" xfId="12960"/>
    <cellStyle name="Normal 9 2 3 2 2 2 2" xfId="12961"/>
    <cellStyle name="Normal 9 2 3 2 2 2 2 2" xfId="12962"/>
    <cellStyle name="Normal 9 2 3 2 2 2 3" xfId="12963"/>
    <cellStyle name="Normal 9 2 3 2 2 3" xfId="12964"/>
    <cellStyle name="Normal 9 2 3 2 2 3 2" xfId="12965"/>
    <cellStyle name="Normal 9 2 3 2 2 3 2 2" xfId="12966"/>
    <cellStyle name="Normal 9 2 3 2 2 3 3" xfId="12967"/>
    <cellStyle name="Normal 9 2 3 2 2 4" xfId="12968"/>
    <cellStyle name="Normal 9 2 3 2 2 4 2" xfId="12969"/>
    <cellStyle name="Normal 9 2 3 2 2 5" xfId="12970"/>
    <cellStyle name="Normal 9 2 3 2 3" xfId="12971"/>
    <cellStyle name="Normal 9 2 3 2 3 2" xfId="12972"/>
    <cellStyle name="Normal 9 2 3 2 3 2 2" xfId="12973"/>
    <cellStyle name="Normal 9 2 3 2 3 3" xfId="12974"/>
    <cellStyle name="Normal 9 2 3 2 4" xfId="12975"/>
    <cellStyle name="Normal 9 2 3 2 4 2" xfId="12976"/>
    <cellStyle name="Normal 9 2 3 2 4 2 2" xfId="12977"/>
    <cellStyle name="Normal 9 2 3 2 4 3" xfId="12978"/>
    <cellStyle name="Normal 9 2 3 2 5" xfId="12979"/>
    <cellStyle name="Normal 9 2 3 2 5 2" xfId="12980"/>
    <cellStyle name="Normal 9 2 3 2 6" xfId="12981"/>
    <cellStyle name="Normal 9 2 3 3" xfId="12982"/>
    <cellStyle name="Normal 9 2 3 3 2" xfId="12983"/>
    <cellStyle name="Normal 9 2 3 3 2 2" xfId="12984"/>
    <cellStyle name="Normal 9 2 3 3 2 2 2" xfId="12985"/>
    <cellStyle name="Normal 9 2 3 3 2 3" xfId="12986"/>
    <cellStyle name="Normal 9 2 3 3 3" xfId="12987"/>
    <cellStyle name="Normal 9 2 3 3 3 2" xfId="12988"/>
    <cellStyle name="Normal 9 2 3 3 3 2 2" xfId="12989"/>
    <cellStyle name="Normal 9 2 3 3 3 3" xfId="12990"/>
    <cellStyle name="Normal 9 2 3 3 4" xfId="12991"/>
    <cellStyle name="Normal 9 2 3 3 4 2" xfId="12992"/>
    <cellStyle name="Normal 9 2 3 3 5" xfId="12993"/>
    <cellStyle name="Normal 9 2 3 4" xfId="12994"/>
    <cellStyle name="Normal 9 2 3 4 2" xfId="12995"/>
    <cellStyle name="Normal 9 2 3 4 2 2" xfId="12996"/>
    <cellStyle name="Normal 9 2 3 4 3" xfId="12997"/>
    <cellStyle name="Normal 9 2 3 4 3 2" xfId="12998"/>
    <cellStyle name="Normal 9 2 3 4 4" xfId="12999"/>
    <cellStyle name="Normal 9 2 3 5" xfId="13000"/>
    <cellStyle name="Normal 9 2 3 5 2" xfId="13001"/>
    <cellStyle name="Normal 9 2 3 5 2 2" xfId="13002"/>
    <cellStyle name="Normal 9 2 3 5 3" xfId="13003"/>
    <cellStyle name="Normal 9 2 3 6" xfId="13004"/>
    <cellStyle name="Normal 9 2 3 6 2" xfId="13005"/>
    <cellStyle name="Normal 9 2 3 7" xfId="13006"/>
    <cellStyle name="Normal 9 2 4" xfId="13007"/>
    <cellStyle name="Normal 9 2 4 2" xfId="13008"/>
    <cellStyle name="Normal 9 2 4 2 2" xfId="13009"/>
    <cellStyle name="Normal 9 2 4 2 2 2" xfId="13010"/>
    <cellStyle name="Normal 9 2 4 2 2 2 2" xfId="13011"/>
    <cellStyle name="Normal 9 2 4 2 2 3" xfId="13012"/>
    <cellStyle name="Normal 9 2 4 2 3" xfId="13013"/>
    <cellStyle name="Normal 9 2 4 2 3 2" xfId="13014"/>
    <cellStyle name="Normal 9 2 4 2 3 2 2" xfId="13015"/>
    <cellStyle name="Normal 9 2 4 2 3 3" xfId="13016"/>
    <cellStyle name="Normal 9 2 4 2 4" xfId="13017"/>
    <cellStyle name="Normal 9 2 4 2 4 2" xfId="13018"/>
    <cellStyle name="Normal 9 2 4 2 5" xfId="13019"/>
    <cellStyle name="Normal 9 2 4 2 5 2" xfId="13020"/>
    <cellStyle name="Normal 9 2 4 2 6" xfId="13021"/>
    <cellStyle name="Normal 9 2 4 3" xfId="13022"/>
    <cellStyle name="Normal 9 2 4 3 2" xfId="13023"/>
    <cellStyle name="Normal 9 2 4 3 2 2" xfId="13024"/>
    <cellStyle name="Normal 9 2 4 3 3" xfId="13025"/>
    <cellStyle name="Normal 9 2 4 3 3 2" xfId="13026"/>
    <cellStyle name="Normal 9 2 4 3 4" xfId="13027"/>
    <cellStyle name="Normal 9 2 4 4" xfId="13028"/>
    <cellStyle name="Normal 9 2 4 4 2" xfId="13029"/>
    <cellStyle name="Normal 9 2 4 4 2 2" xfId="13030"/>
    <cellStyle name="Normal 9 2 4 4 3" xfId="13031"/>
    <cellStyle name="Normal 9 2 4 4 3 2" xfId="13032"/>
    <cellStyle name="Normal 9 2 4 4 4" xfId="13033"/>
    <cellStyle name="Normal 9 2 4 5" xfId="13034"/>
    <cellStyle name="Normal 9 2 4 5 2" xfId="13035"/>
    <cellStyle name="Normal 9 2 4 6" xfId="13036"/>
    <cellStyle name="Normal 9 2 4 6 2" xfId="13037"/>
    <cellStyle name="Normal 9 2 4 7" xfId="13038"/>
    <cellStyle name="Normal 9 2 5" xfId="13039"/>
    <cellStyle name="Normal 9 2 5 10" xfId="13040"/>
    <cellStyle name="Normal 9 2 5 2" xfId="13041"/>
    <cellStyle name="Normal 9 2 5 2 2" xfId="13042"/>
    <cellStyle name="Normal 9 2 5 2 2 2" xfId="13043"/>
    <cellStyle name="Normal 9 2 5 2 2 2 2" xfId="13044"/>
    <cellStyle name="Normal 9 2 5 2 2 3" xfId="13045"/>
    <cellStyle name="Normal 9 2 5 2 2 3 2" xfId="13046"/>
    <cellStyle name="Normal 9 2 5 2 2 4" xfId="13047"/>
    <cellStyle name="Normal 9 2 5 2 2 4 2" xfId="13048"/>
    <cellStyle name="Normal 9 2 5 2 2 5" xfId="13049"/>
    <cellStyle name="Normal 9 2 5 2 2 5 2" xfId="13050"/>
    <cellStyle name="Normal 9 2 5 2 2 6" xfId="13051"/>
    <cellStyle name="Normal 9 2 5 2 3" xfId="13052"/>
    <cellStyle name="Normal 9 2 5 2 3 2" xfId="13053"/>
    <cellStyle name="Normal 9 2 5 2 3 2 2" xfId="13054"/>
    <cellStyle name="Normal 9 2 5 2 3 3" xfId="13055"/>
    <cellStyle name="Normal 9 2 5 2 3 3 2" xfId="13056"/>
    <cellStyle name="Normal 9 2 5 2 3 4" xfId="13057"/>
    <cellStyle name="Normal 9 2 5 2 4" xfId="13058"/>
    <cellStyle name="Normal 9 2 5 2 4 2" xfId="13059"/>
    <cellStyle name="Normal 9 2 5 2 4 2 2" xfId="13060"/>
    <cellStyle name="Normal 9 2 5 2 4 3" xfId="13061"/>
    <cellStyle name="Normal 9 2 5 2 4 3 2" xfId="13062"/>
    <cellStyle name="Normal 9 2 5 2 4 4" xfId="13063"/>
    <cellStyle name="Normal 9 2 5 2 5" xfId="13064"/>
    <cellStyle name="Normal 9 2 5 2 5 2" xfId="13065"/>
    <cellStyle name="Normal 9 2 5 2 6" xfId="13066"/>
    <cellStyle name="Normal 9 2 5 2 6 2" xfId="13067"/>
    <cellStyle name="Normal 9 2 5 2 7" xfId="13068"/>
    <cellStyle name="Normal 9 2 5 3" xfId="13069"/>
    <cellStyle name="Normal 9 2 5 3 2" xfId="13070"/>
    <cellStyle name="Normal 9 2 5 3 2 2" xfId="13071"/>
    <cellStyle name="Normal 9 2 5 3 2 2 2" xfId="13072"/>
    <cellStyle name="Normal 9 2 5 3 2 2 2 2" xfId="13073"/>
    <cellStyle name="Normal 9 2 5 3 2 2 3" xfId="13074"/>
    <cellStyle name="Normal 9 2 5 3 2 2 3 2" xfId="13075"/>
    <cellStyle name="Normal 9 2 5 3 2 2 4" xfId="13076"/>
    <cellStyle name="Normal 9 2 5 3 2 3" xfId="13077"/>
    <cellStyle name="Normal 9 2 5 3 2 3 2" xfId="13078"/>
    <cellStyle name="Normal 9 2 5 3 2 3 2 2" xfId="13079"/>
    <cellStyle name="Normal 9 2 5 3 2 3 3" xfId="13080"/>
    <cellStyle name="Normal 9 2 5 3 2 3 3 2" xfId="13081"/>
    <cellStyle name="Normal 9 2 5 3 2 3 4" xfId="13082"/>
    <cellStyle name="Normal 9 2 5 3 2 4" xfId="13083"/>
    <cellStyle name="Normal 9 2 5 3 2 4 2" xfId="13084"/>
    <cellStyle name="Normal 9 2 5 3 2 5" xfId="13085"/>
    <cellStyle name="Normal 9 2 5 3 2 5 2" xfId="13086"/>
    <cellStyle name="Normal 9 2 5 3 2 6" xfId="13087"/>
    <cellStyle name="Normal 9 2 5 3 3" xfId="13088"/>
    <cellStyle name="Normal 9 2 5 3 3 2" xfId="13089"/>
    <cellStyle name="Normal 9 2 5 3 3 2 2" xfId="13090"/>
    <cellStyle name="Normal 9 2 5 3 3 3" xfId="13091"/>
    <cellStyle name="Normal 9 2 5 3 3 3 2" xfId="13092"/>
    <cellStyle name="Normal 9 2 5 3 3 4" xfId="13093"/>
    <cellStyle name="Normal 9 2 5 3 3 4 2" xfId="13094"/>
    <cellStyle name="Normal 9 2 5 3 3 5" xfId="13095"/>
    <cellStyle name="Normal 9 2 5 3 3 5 2" xfId="13096"/>
    <cellStyle name="Normal 9 2 5 3 3 6" xfId="13097"/>
    <cellStyle name="Normal 9 2 5 3 4" xfId="13098"/>
    <cellStyle name="Normal 9 2 5 3 4 2" xfId="13099"/>
    <cellStyle name="Normal 9 2 5 3 4 2 2" xfId="13100"/>
    <cellStyle name="Normal 9 2 5 3 4 3" xfId="13101"/>
    <cellStyle name="Normal 9 2 5 3 4 3 2" xfId="13102"/>
    <cellStyle name="Normal 9 2 5 3 4 4" xfId="13103"/>
    <cellStyle name="Normal 9 2 5 3 5" xfId="13104"/>
    <cellStyle name="Normal 9 2 5 3 5 2" xfId="13105"/>
    <cellStyle name="Normal 9 2 5 3 5 2 2" xfId="13106"/>
    <cellStyle name="Normal 9 2 5 3 5 3" xfId="13107"/>
    <cellStyle name="Normal 9 2 5 3 5 3 2" xfId="13108"/>
    <cellStyle name="Normal 9 2 5 3 5 4" xfId="13109"/>
    <cellStyle name="Normal 9 2 5 3 6" xfId="13110"/>
    <cellStyle name="Normal 9 2 5 3 6 2" xfId="13111"/>
    <cellStyle name="Normal 9 2 5 3 7" xfId="13112"/>
    <cellStyle name="Normal 9 2 5 3 7 2" xfId="13113"/>
    <cellStyle name="Normal 9 2 5 3 8" xfId="13114"/>
    <cellStyle name="Normal 9 2 5 4" xfId="13115"/>
    <cellStyle name="Normal 9 2 5 4 2" xfId="13116"/>
    <cellStyle name="Normal 9 2 5 4 2 2" xfId="13117"/>
    <cellStyle name="Normal 9 2 5 4 2 2 2" xfId="13118"/>
    <cellStyle name="Normal 9 2 5 4 2 3" xfId="13119"/>
    <cellStyle name="Normal 9 2 5 4 2 3 2" xfId="13120"/>
    <cellStyle name="Normal 9 2 5 4 2 4" xfId="13121"/>
    <cellStyle name="Normal 9 2 5 4 3" xfId="13122"/>
    <cellStyle name="Normal 9 2 5 4 3 2" xfId="13123"/>
    <cellStyle name="Normal 9 2 5 4 3 2 2" xfId="13124"/>
    <cellStyle name="Normal 9 2 5 4 3 3" xfId="13125"/>
    <cellStyle name="Normal 9 2 5 4 3 3 2" xfId="13126"/>
    <cellStyle name="Normal 9 2 5 4 3 4" xfId="13127"/>
    <cellStyle name="Normal 9 2 5 4 4" xfId="13128"/>
    <cellStyle name="Normal 9 2 5 4 4 2" xfId="13129"/>
    <cellStyle name="Normal 9 2 5 4 5" xfId="13130"/>
    <cellStyle name="Normal 9 2 5 4 5 2" xfId="13131"/>
    <cellStyle name="Normal 9 2 5 4 6" xfId="13132"/>
    <cellStyle name="Normal 9 2 5 5" xfId="13133"/>
    <cellStyle name="Normal 9 2 5 5 2" xfId="13134"/>
    <cellStyle name="Normal 9 2 5 5 2 2" xfId="13135"/>
    <cellStyle name="Normal 9 2 5 5 3" xfId="13136"/>
    <cellStyle name="Normal 9 2 5 5 3 2" xfId="13137"/>
    <cellStyle name="Normal 9 2 5 5 4" xfId="13138"/>
    <cellStyle name="Normal 9 2 5 5 4 2" xfId="13139"/>
    <cellStyle name="Normal 9 2 5 5 5" xfId="13140"/>
    <cellStyle name="Normal 9 2 5 5 5 2" xfId="13141"/>
    <cellStyle name="Normal 9 2 5 5 6" xfId="13142"/>
    <cellStyle name="Normal 9 2 5 6" xfId="13143"/>
    <cellStyle name="Normal 9 2 5 6 2" xfId="13144"/>
    <cellStyle name="Normal 9 2 5 6 2 2" xfId="13145"/>
    <cellStyle name="Normal 9 2 5 6 3" xfId="13146"/>
    <cellStyle name="Normal 9 2 5 6 3 2" xfId="13147"/>
    <cellStyle name="Normal 9 2 5 6 4" xfId="13148"/>
    <cellStyle name="Normal 9 2 5 7" xfId="13149"/>
    <cellStyle name="Normal 9 2 5 7 2" xfId="13150"/>
    <cellStyle name="Normal 9 2 5 7 2 2" xfId="13151"/>
    <cellStyle name="Normal 9 2 5 7 3" xfId="13152"/>
    <cellStyle name="Normal 9 2 5 7 3 2" xfId="13153"/>
    <cellStyle name="Normal 9 2 5 7 4" xfId="13154"/>
    <cellStyle name="Normal 9 2 5 8" xfId="13155"/>
    <cellStyle name="Normal 9 2 5 8 2" xfId="13156"/>
    <cellStyle name="Normal 9 2 5 9" xfId="13157"/>
    <cellStyle name="Normal 9 2 5 9 2" xfId="13158"/>
    <cellStyle name="Normal 9 2 5_10070" xfId="13159"/>
    <cellStyle name="Normal 9 2 6" xfId="13160"/>
    <cellStyle name="Normal 9 2 6 2" xfId="13161"/>
    <cellStyle name="Normal 9 2 6 2 2" xfId="13162"/>
    <cellStyle name="Normal 9 2 6 3" xfId="13163"/>
    <cellStyle name="Normal 9 2 6 3 2" xfId="13164"/>
    <cellStyle name="Normal 9 2 6 4" xfId="13165"/>
    <cellStyle name="Normal 9 2 6 4 2" xfId="13166"/>
    <cellStyle name="Normal 9 2 6 5" xfId="13167"/>
    <cellStyle name="Normal 9 2 6 5 2" xfId="13168"/>
    <cellStyle name="Normal 9 2 6 6" xfId="13169"/>
    <cellStyle name="Normal 9 2 7" xfId="13170"/>
    <cellStyle name="Normal 9 2 7 2" xfId="13171"/>
    <cellStyle name="Normal 9 2 7 2 2" xfId="13172"/>
    <cellStyle name="Normal 9 2 7 3" xfId="13173"/>
    <cellStyle name="Normal 9 2 7 3 2" xfId="13174"/>
    <cellStyle name="Normal 9 2 7 4" xfId="13175"/>
    <cellStyle name="Normal 9 2 8" xfId="13176"/>
    <cellStyle name="Normal 9 2 8 2" xfId="13177"/>
    <cellStyle name="Normal 9 2 8 2 2" xfId="13178"/>
    <cellStyle name="Normal 9 2 8 3" xfId="13179"/>
    <cellStyle name="Normal 9 2 8 3 2" xfId="13180"/>
    <cellStyle name="Normal 9 2 8 4" xfId="13181"/>
    <cellStyle name="Normal 9 2 9" xfId="13182"/>
    <cellStyle name="Normal 9 2 9 2" xfId="13183"/>
    <cellStyle name="Normal 9 3" xfId="13184"/>
    <cellStyle name="Normal 9 3 2" xfId="13185"/>
    <cellStyle name="Normal 9 3 2 2" xfId="13186"/>
    <cellStyle name="Normal 9 3 2 2 2" xfId="13187"/>
    <cellStyle name="Normal 9 3 2 2 2 2" xfId="13188"/>
    <cellStyle name="Normal 9 3 2 2 2 2 2" xfId="13189"/>
    <cellStyle name="Normal 9 3 2 2 2 2 2 2" xfId="13190"/>
    <cellStyle name="Normal 9 3 2 2 2 2 3" xfId="13191"/>
    <cellStyle name="Normal 9 3 2 2 2 3" xfId="13192"/>
    <cellStyle name="Normal 9 3 2 2 2 3 2" xfId="13193"/>
    <cellStyle name="Normal 9 3 2 2 2 3 2 2" xfId="13194"/>
    <cellStyle name="Normal 9 3 2 2 2 3 3" xfId="13195"/>
    <cellStyle name="Normal 9 3 2 2 2 4" xfId="13196"/>
    <cellStyle name="Normal 9 3 2 2 2 4 2" xfId="13197"/>
    <cellStyle name="Normal 9 3 2 2 2 5" xfId="13198"/>
    <cellStyle name="Normal 9 3 2 2 3" xfId="13199"/>
    <cellStyle name="Normal 9 3 2 2 3 2" xfId="13200"/>
    <cellStyle name="Normal 9 3 2 2 3 2 2" xfId="13201"/>
    <cellStyle name="Normal 9 3 2 2 3 3" xfId="13202"/>
    <cellStyle name="Normal 9 3 2 2 4" xfId="13203"/>
    <cellStyle name="Normal 9 3 2 2 4 2" xfId="13204"/>
    <cellStyle name="Normal 9 3 2 2 4 2 2" xfId="13205"/>
    <cellStyle name="Normal 9 3 2 2 4 3" xfId="13206"/>
    <cellStyle name="Normal 9 3 2 2 5" xfId="13207"/>
    <cellStyle name="Normal 9 3 2 2 5 2" xfId="13208"/>
    <cellStyle name="Normal 9 3 2 2 6" xfId="13209"/>
    <cellStyle name="Normal 9 3 2 3" xfId="13210"/>
    <cellStyle name="Normal 9 3 2 3 2" xfId="13211"/>
    <cellStyle name="Normal 9 3 2 3 2 2" xfId="13212"/>
    <cellStyle name="Normal 9 3 2 3 2 2 2" xfId="13213"/>
    <cellStyle name="Normal 9 3 2 3 2 3" xfId="13214"/>
    <cellStyle name="Normal 9 3 2 3 3" xfId="13215"/>
    <cellStyle name="Normal 9 3 2 3 3 2" xfId="13216"/>
    <cellStyle name="Normal 9 3 2 3 3 2 2" xfId="13217"/>
    <cellStyle name="Normal 9 3 2 3 3 3" xfId="13218"/>
    <cellStyle name="Normal 9 3 2 3 4" xfId="13219"/>
    <cellStyle name="Normal 9 3 2 3 4 2" xfId="13220"/>
    <cellStyle name="Normal 9 3 2 3 5" xfId="13221"/>
    <cellStyle name="Normal 9 3 2 4" xfId="13222"/>
    <cellStyle name="Normal 9 3 2 4 2" xfId="13223"/>
    <cellStyle name="Normal 9 3 2 4 2 2" xfId="13224"/>
    <cellStyle name="Normal 9 3 2 4 3" xfId="13225"/>
    <cellStyle name="Normal 9 3 2 5" xfId="13226"/>
    <cellStyle name="Normal 9 3 2 5 2" xfId="13227"/>
    <cellStyle name="Normal 9 3 2 5 2 2" xfId="13228"/>
    <cellStyle name="Normal 9 3 2 5 3" xfId="13229"/>
    <cellStyle name="Normal 9 3 2 6" xfId="13230"/>
    <cellStyle name="Normal 9 3 2 6 2" xfId="13231"/>
    <cellStyle name="Normal 9 3 2 7" xfId="13232"/>
    <cellStyle name="Normal 9 3 3" xfId="13233"/>
    <cellStyle name="Normal 9 3 3 2" xfId="13234"/>
    <cellStyle name="Normal 9 3 3 2 2" xfId="13235"/>
    <cellStyle name="Normal 9 3 3 2 2 2" xfId="13236"/>
    <cellStyle name="Normal 9 3 3 2 2 2 2" xfId="13237"/>
    <cellStyle name="Normal 9 3 3 2 2 3" xfId="13238"/>
    <cellStyle name="Normal 9 3 3 2 3" xfId="13239"/>
    <cellStyle name="Normal 9 3 3 2 3 2" xfId="13240"/>
    <cellStyle name="Normal 9 3 3 2 3 2 2" xfId="13241"/>
    <cellStyle name="Normal 9 3 3 2 3 3" xfId="13242"/>
    <cellStyle name="Normal 9 3 3 2 4" xfId="13243"/>
    <cellStyle name="Normal 9 3 3 2 4 2" xfId="13244"/>
    <cellStyle name="Normal 9 3 3 2 5" xfId="13245"/>
    <cellStyle name="Normal 9 3 3 3" xfId="13246"/>
    <cellStyle name="Normal 9 3 3 3 2" xfId="13247"/>
    <cellStyle name="Normal 9 3 3 3 2 2" xfId="13248"/>
    <cellStyle name="Normal 9 3 3 3 3" xfId="13249"/>
    <cellStyle name="Normal 9 3 3 4" xfId="13250"/>
    <cellStyle name="Normal 9 3 3 4 2" xfId="13251"/>
    <cellStyle name="Normal 9 3 3 4 2 2" xfId="13252"/>
    <cellStyle name="Normal 9 3 3 4 3" xfId="13253"/>
    <cellStyle name="Normal 9 3 3 5" xfId="13254"/>
    <cellStyle name="Normal 9 3 3 5 2" xfId="13255"/>
    <cellStyle name="Normal 9 3 3 6" xfId="13256"/>
    <cellStyle name="Normal 9 3 4" xfId="13257"/>
    <cellStyle name="Normal 9 3 4 2" xfId="13258"/>
    <cellStyle name="Normal 9 3 4 2 2" xfId="13259"/>
    <cellStyle name="Normal 9 3 4 2 2 2" xfId="13260"/>
    <cellStyle name="Normal 9 3 4 2 3" xfId="13261"/>
    <cellStyle name="Normal 9 3 4 3" xfId="13262"/>
    <cellStyle name="Normal 9 3 4 3 2" xfId="13263"/>
    <cellStyle name="Normal 9 3 4 3 2 2" xfId="13264"/>
    <cellStyle name="Normal 9 3 4 3 3" xfId="13265"/>
    <cellStyle name="Normal 9 3 4 4" xfId="13266"/>
    <cellStyle name="Normal 9 3 4 4 2" xfId="13267"/>
    <cellStyle name="Normal 9 3 4 5" xfId="13268"/>
    <cellStyle name="Normal 9 3 5" xfId="13269"/>
    <cellStyle name="Normal 9 3 5 2" xfId="13270"/>
    <cellStyle name="Normal 9 3 5 2 2" xfId="13271"/>
    <cellStyle name="Normal 9 3 5 3" xfId="13272"/>
    <cellStyle name="Normal 9 3 6" xfId="13273"/>
    <cellStyle name="Normal 9 3 6 2" xfId="13274"/>
    <cellStyle name="Normal 9 3 6 2 2" xfId="13275"/>
    <cellStyle name="Normal 9 3 6 3" xfId="13276"/>
    <cellStyle name="Normal 9 3 7" xfId="13277"/>
    <cellStyle name="Normal 9 3 7 2" xfId="13278"/>
    <cellStyle name="Normal 9 3 8" xfId="13279"/>
    <cellStyle name="Normal 9 3 9" xfId="13280"/>
    <cellStyle name="Normal 9 4" xfId="13281"/>
    <cellStyle name="Normal 9 4 2" xfId="13282"/>
    <cellStyle name="Normal 9 4 2 2" xfId="13283"/>
    <cellStyle name="Normal 9 4 2 2 2" xfId="13284"/>
    <cellStyle name="Normal 9 4 2 2 2 2" xfId="13285"/>
    <cellStyle name="Normal 9 4 2 2 2 2 2" xfId="13286"/>
    <cellStyle name="Normal 9 4 2 2 2 2 2 2" xfId="13287"/>
    <cellStyle name="Normal 9 4 2 2 2 2 3" xfId="13288"/>
    <cellStyle name="Normal 9 4 2 2 2 3" xfId="13289"/>
    <cellStyle name="Normal 9 4 2 2 2 3 2" xfId="13290"/>
    <cellStyle name="Normal 9 4 2 2 2 3 2 2" xfId="13291"/>
    <cellStyle name="Normal 9 4 2 2 2 3 3" xfId="13292"/>
    <cellStyle name="Normal 9 4 2 2 2 4" xfId="13293"/>
    <cellStyle name="Normal 9 4 2 2 2 4 2" xfId="13294"/>
    <cellStyle name="Normal 9 4 2 2 2 5" xfId="13295"/>
    <cellStyle name="Normal 9 4 2 2 3" xfId="13296"/>
    <cellStyle name="Normal 9 4 2 2 3 2" xfId="13297"/>
    <cellStyle name="Normal 9 4 2 2 3 2 2" xfId="13298"/>
    <cellStyle name="Normal 9 4 2 2 3 3" xfId="13299"/>
    <cellStyle name="Normal 9 4 2 2 4" xfId="13300"/>
    <cellStyle name="Normal 9 4 2 2 4 2" xfId="13301"/>
    <cellStyle name="Normal 9 4 2 2 4 2 2" xfId="13302"/>
    <cellStyle name="Normal 9 4 2 2 4 3" xfId="13303"/>
    <cellStyle name="Normal 9 4 2 2 5" xfId="13304"/>
    <cellStyle name="Normal 9 4 2 2 5 2" xfId="13305"/>
    <cellStyle name="Normal 9 4 2 2 6" xfId="13306"/>
    <cellStyle name="Normal 9 4 2 3" xfId="13307"/>
    <cellStyle name="Normal 9 4 2 3 2" xfId="13308"/>
    <cellStyle name="Normal 9 4 2 3 2 2" xfId="13309"/>
    <cellStyle name="Normal 9 4 2 3 2 2 2" xfId="13310"/>
    <cellStyle name="Normal 9 4 2 3 2 3" xfId="13311"/>
    <cellStyle name="Normal 9 4 2 3 3" xfId="13312"/>
    <cellStyle name="Normal 9 4 2 3 3 2" xfId="13313"/>
    <cellStyle name="Normal 9 4 2 3 3 2 2" xfId="13314"/>
    <cellStyle name="Normal 9 4 2 3 3 3" xfId="13315"/>
    <cellStyle name="Normal 9 4 2 3 4" xfId="13316"/>
    <cellStyle name="Normal 9 4 2 3 4 2" xfId="13317"/>
    <cellStyle name="Normal 9 4 2 3 5" xfId="13318"/>
    <cellStyle name="Normal 9 4 2 4" xfId="13319"/>
    <cellStyle name="Normal 9 4 2 4 2" xfId="13320"/>
    <cellStyle name="Normal 9 4 2 4 2 2" xfId="13321"/>
    <cellStyle name="Normal 9 4 2 4 3" xfId="13322"/>
    <cellStyle name="Normal 9 4 2 5" xfId="13323"/>
    <cellStyle name="Normal 9 4 2 5 2" xfId="13324"/>
    <cellStyle name="Normal 9 4 2 5 2 2" xfId="13325"/>
    <cellStyle name="Normal 9 4 2 5 3" xfId="13326"/>
    <cellStyle name="Normal 9 4 2 6" xfId="13327"/>
    <cellStyle name="Normal 9 4 2 6 2" xfId="13328"/>
    <cellStyle name="Normal 9 4 2 7" xfId="13329"/>
    <cellStyle name="Normal 9 4 3" xfId="13330"/>
    <cellStyle name="Normal 9 4 3 2" xfId="13331"/>
    <cellStyle name="Normal 9 4 3 2 2" xfId="13332"/>
    <cellStyle name="Normal 9 4 3 2 2 2" xfId="13333"/>
    <cellStyle name="Normal 9 4 3 2 2 2 2" xfId="13334"/>
    <cellStyle name="Normal 9 4 3 2 2 3" xfId="13335"/>
    <cellStyle name="Normal 9 4 3 2 3" xfId="13336"/>
    <cellStyle name="Normal 9 4 3 2 3 2" xfId="13337"/>
    <cellStyle name="Normal 9 4 3 2 3 2 2" xfId="13338"/>
    <cellStyle name="Normal 9 4 3 2 3 3" xfId="13339"/>
    <cellStyle name="Normal 9 4 3 2 4" xfId="13340"/>
    <cellStyle name="Normal 9 4 3 2 4 2" xfId="13341"/>
    <cellStyle name="Normal 9 4 3 2 5" xfId="13342"/>
    <cellStyle name="Normal 9 4 3 3" xfId="13343"/>
    <cellStyle name="Normal 9 4 3 3 2" xfId="13344"/>
    <cellStyle name="Normal 9 4 3 3 2 2" xfId="13345"/>
    <cellStyle name="Normal 9 4 3 3 3" xfId="13346"/>
    <cellStyle name="Normal 9 4 3 4" xfId="13347"/>
    <cellStyle name="Normal 9 4 3 4 2" xfId="13348"/>
    <cellStyle name="Normal 9 4 3 4 2 2" xfId="13349"/>
    <cellStyle name="Normal 9 4 3 4 3" xfId="13350"/>
    <cellStyle name="Normal 9 4 3 5" xfId="13351"/>
    <cellStyle name="Normal 9 4 3 5 2" xfId="13352"/>
    <cellStyle name="Normal 9 4 3 6" xfId="13353"/>
    <cellStyle name="Normal 9 4 4" xfId="13354"/>
    <cellStyle name="Normal 9 4 4 2" xfId="13355"/>
    <cellStyle name="Normal 9 4 4 2 2" xfId="13356"/>
    <cellStyle name="Normal 9 4 4 2 2 2" xfId="13357"/>
    <cellStyle name="Normal 9 4 4 2 3" xfId="13358"/>
    <cellStyle name="Normal 9 4 4 3" xfId="13359"/>
    <cellStyle name="Normal 9 4 4 3 2" xfId="13360"/>
    <cellStyle name="Normal 9 4 4 3 2 2" xfId="13361"/>
    <cellStyle name="Normal 9 4 4 3 3" xfId="13362"/>
    <cellStyle name="Normal 9 4 4 4" xfId="13363"/>
    <cellStyle name="Normal 9 4 4 4 2" xfId="13364"/>
    <cellStyle name="Normal 9 4 4 5" xfId="13365"/>
    <cellStyle name="Normal 9 4 5" xfId="13366"/>
    <cellStyle name="Normal 9 4 5 2" xfId="13367"/>
    <cellStyle name="Normal 9 4 5 2 2" xfId="13368"/>
    <cellStyle name="Normal 9 4 5 3" xfId="13369"/>
    <cellStyle name="Normal 9 4 6" xfId="13370"/>
    <cellStyle name="Normal 9 4 6 2" xfId="13371"/>
    <cellStyle name="Normal 9 4 6 2 2" xfId="13372"/>
    <cellStyle name="Normal 9 4 6 3" xfId="13373"/>
    <cellStyle name="Normal 9 4 7" xfId="13374"/>
    <cellStyle name="Normal 9 4 7 2" xfId="13375"/>
    <cellStyle name="Normal 9 4 8" xfId="13376"/>
    <cellStyle name="Normal 9 5" xfId="13377"/>
    <cellStyle name="Normal 9 5 10" xfId="13378"/>
    <cellStyle name="Normal 9 5 2" xfId="13379"/>
    <cellStyle name="Normal 9 5 2 2" xfId="13380"/>
    <cellStyle name="Normal 9 5 2 2 2" xfId="13381"/>
    <cellStyle name="Normal 9 5 2 2 2 2" xfId="13382"/>
    <cellStyle name="Normal 9 5 2 2 2 2 2" xfId="13383"/>
    <cellStyle name="Normal 9 5 2 2 2 3" xfId="13384"/>
    <cellStyle name="Normal 9 5 2 2 3" xfId="13385"/>
    <cellStyle name="Normal 9 5 2 2 3 2" xfId="13386"/>
    <cellStyle name="Normal 9 5 2 2 3 2 2" xfId="13387"/>
    <cellStyle name="Normal 9 5 2 2 3 3" xfId="13388"/>
    <cellStyle name="Normal 9 5 2 2 4" xfId="13389"/>
    <cellStyle name="Normal 9 5 2 2 4 2" xfId="13390"/>
    <cellStyle name="Normal 9 5 2 2 5" xfId="13391"/>
    <cellStyle name="Normal 9 5 2 2 5 2" xfId="13392"/>
    <cellStyle name="Normal 9 5 2 2 6" xfId="13393"/>
    <cellStyle name="Normal 9 5 2 3" xfId="13394"/>
    <cellStyle name="Normal 9 5 2 3 2" xfId="13395"/>
    <cellStyle name="Normal 9 5 2 3 2 2" xfId="13396"/>
    <cellStyle name="Normal 9 5 2 3 3" xfId="13397"/>
    <cellStyle name="Normal 9 5 2 3 3 2" xfId="13398"/>
    <cellStyle name="Normal 9 5 2 3 4" xfId="13399"/>
    <cellStyle name="Normal 9 5 2 4" xfId="13400"/>
    <cellStyle name="Normal 9 5 2 4 2" xfId="13401"/>
    <cellStyle name="Normal 9 5 2 4 2 2" xfId="13402"/>
    <cellStyle name="Normal 9 5 2 4 3" xfId="13403"/>
    <cellStyle name="Normal 9 5 2 4 3 2" xfId="13404"/>
    <cellStyle name="Normal 9 5 2 4 4" xfId="13405"/>
    <cellStyle name="Normal 9 5 2 5" xfId="13406"/>
    <cellStyle name="Normal 9 5 2 5 2" xfId="13407"/>
    <cellStyle name="Normal 9 5 2 6" xfId="13408"/>
    <cellStyle name="Normal 9 5 2 6 2" xfId="13409"/>
    <cellStyle name="Normal 9 5 2 7" xfId="13410"/>
    <cellStyle name="Normal 9 5 3" xfId="13411"/>
    <cellStyle name="Normal 9 5 3 2" xfId="13412"/>
    <cellStyle name="Normal 9 5 3 2 2" xfId="13413"/>
    <cellStyle name="Normal 9 5 3 2 2 2" xfId="13414"/>
    <cellStyle name="Normal 9 5 3 2 2 2 2" xfId="13415"/>
    <cellStyle name="Normal 9 5 3 2 2 3" xfId="13416"/>
    <cellStyle name="Normal 9 5 3 2 2 3 2" xfId="13417"/>
    <cellStyle name="Normal 9 5 3 2 2 4" xfId="13418"/>
    <cellStyle name="Normal 9 5 3 2 3" xfId="13419"/>
    <cellStyle name="Normal 9 5 3 2 3 2" xfId="13420"/>
    <cellStyle name="Normal 9 5 3 2 3 2 2" xfId="13421"/>
    <cellStyle name="Normal 9 5 3 2 3 3" xfId="13422"/>
    <cellStyle name="Normal 9 5 3 2 3 3 2" xfId="13423"/>
    <cellStyle name="Normal 9 5 3 2 3 4" xfId="13424"/>
    <cellStyle name="Normal 9 5 3 2 4" xfId="13425"/>
    <cellStyle name="Normal 9 5 3 2 4 2" xfId="13426"/>
    <cellStyle name="Normal 9 5 3 2 5" xfId="13427"/>
    <cellStyle name="Normal 9 5 3 2 5 2" xfId="13428"/>
    <cellStyle name="Normal 9 5 3 2 6" xfId="13429"/>
    <cellStyle name="Normal 9 5 3 3" xfId="13430"/>
    <cellStyle name="Normal 9 5 3 3 2" xfId="13431"/>
    <cellStyle name="Normal 9 5 3 3 2 2" xfId="13432"/>
    <cellStyle name="Normal 9 5 3 3 3" xfId="13433"/>
    <cellStyle name="Normal 9 5 3 3 3 2" xfId="13434"/>
    <cellStyle name="Normal 9 5 3 3 4" xfId="13435"/>
    <cellStyle name="Normal 9 5 3 3 4 2" xfId="13436"/>
    <cellStyle name="Normal 9 5 3 3 5" xfId="13437"/>
    <cellStyle name="Normal 9 5 3 3 5 2" xfId="13438"/>
    <cellStyle name="Normal 9 5 3 3 6" xfId="13439"/>
    <cellStyle name="Normal 9 5 3 4" xfId="13440"/>
    <cellStyle name="Normal 9 5 3 4 2" xfId="13441"/>
    <cellStyle name="Normal 9 5 3 4 2 2" xfId="13442"/>
    <cellStyle name="Normal 9 5 3 4 3" xfId="13443"/>
    <cellStyle name="Normal 9 5 3 4 3 2" xfId="13444"/>
    <cellStyle name="Normal 9 5 3 4 4" xfId="13445"/>
    <cellStyle name="Normal 9 5 3 5" xfId="13446"/>
    <cellStyle name="Normal 9 5 3 5 2" xfId="13447"/>
    <cellStyle name="Normal 9 5 3 5 2 2" xfId="13448"/>
    <cellStyle name="Normal 9 5 3 5 3" xfId="13449"/>
    <cellStyle name="Normal 9 5 3 5 3 2" xfId="13450"/>
    <cellStyle name="Normal 9 5 3 5 4" xfId="13451"/>
    <cellStyle name="Normal 9 5 3 6" xfId="13452"/>
    <cellStyle name="Normal 9 5 3 6 2" xfId="13453"/>
    <cellStyle name="Normal 9 5 3 7" xfId="13454"/>
    <cellStyle name="Normal 9 5 3 7 2" xfId="13455"/>
    <cellStyle name="Normal 9 5 3 8" xfId="13456"/>
    <cellStyle name="Normal 9 5 4" xfId="13457"/>
    <cellStyle name="Normal 9 5 4 2" xfId="13458"/>
    <cellStyle name="Normal 9 5 4 2 2" xfId="13459"/>
    <cellStyle name="Normal 9 5 4 2 2 2" xfId="13460"/>
    <cellStyle name="Normal 9 5 4 2 3" xfId="13461"/>
    <cellStyle name="Normal 9 5 4 2 3 2" xfId="13462"/>
    <cellStyle name="Normal 9 5 4 2 4" xfId="13463"/>
    <cellStyle name="Normal 9 5 4 3" xfId="13464"/>
    <cellStyle name="Normal 9 5 4 3 2" xfId="13465"/>
    <cellStyle name="Normal 9 5 4 3 2 2" xfId="13466"/>
    <cellStyle name="Normal 9 5 4 3 3" xfId="13467"/>
    <cellStyle name="Normal 9 5 4 3 3 2" xfId="13468"/>
    <cellStyle name="Normal 9 5 4 3 4" xfId="13469"/>
    <cellStyle name="Normal 9 5 4 4" xfId="13470"/>
    <cellStyle name="Normal 9 5 4 4 2" xfId="13471"/>
    <cellStyle name="Normal 9 5 4 5" xfId="13472"/>
    <cellStyle name="Normal 9 5 4 5 2" xfId="13473"/>
    <cellStyle name="Normal 9 5 4 6" xfId="13474"/>
    <cellStyle name="Normal 9 5 5" xfId="13475"/>
    <cellStyle name="Normal 9 5 5 2" xfId="13476"/>
    <cellStyle name="Normal 9 5 5 2 2" xfId="13477"/>
    <cellStyle name="Normal 9 5 5 3" xfId="13478"/>
    <cellStyle name="Normal 9 5 5 3 2" xfId="13479"/>
    <cellStyle name="Normal 9 5 5 4" xfId="13480"/>
    <cellStyle name="Normal 9 5 5 4 2" xfId="13481"/>
    <cellStyle name="Normal 9 5 5 5" xfId="13482"/>
    <cellStyle name="Normal 9 5 5 5 2" xfId="13483"/>
    <cellStyle name="Normal 9 5 5 6" xfId="13484"/>
    <cellStyle name="Normal 9 5 6" xfId="13485"/>
    <cellStyle name="Normal 9 5 6 2" xfId="13486"/>
    <cellStyle name="Normal 9 5 6 2 2" xfId="13487"/>
    <cellStyle name="Normal 9 5 6 3" xfId="13488"/>
    <cellStyle name="Normal 9 5 6 3 2" xfId="13489"/>
    <cellStyle name="Normal 9 5 6 4" xfId="13490"/>
    <cellStyle name="Normal 9 5 7" xfId="13491"/>
    <cellStyle name="Normal 9 5 7 2" xfId="13492"/>
    <cellStyle name="Normal 9 5 7 2 2" xfId="13493"/>
    <cellStyle name="Normal 9 5 7 3" xfId="13494"/>
    <cellStyle name="Normal 9 5 7 3 2" xfId="13495"/>
    <cellStyle name="Normal 9 5 7 4" xfId="13496"/>
    <cellStyle name="Normal 9 5 8" xfId="13497"/>
    <cellStyle name="Normal 9 5 8 2" xfId="13498"/>
    <cellStyle name="Normal 9 5 9" xfId="13499"/>
    <cellStyle name="Normal 9 5 9 2" xfId="13500"/>
    <cellStyle name="Normal 9 5_10070" xfId="13501"/>
    <cellStyle name="Normal 9 6" xfId="13502"/>
    <cellStyle name="Normal 9 6 2" xfId="13503"/>
    <cellStyle name="Normal 9 6 2 2" xfId="13504"/>
    <cellStyle name="Normal 9 6 2 2 2" xfId="13505"/>
    <cellStyle name="Normal 9 6 2 2 2 2" xfId="13506"/>
    <cellStyle name="Normal 9 6 2 2 3" xfId="13507"/>
    <cellStyle name="Normal 9 6 2 3" xfId="13508"/>
    <cellStyle name="Normal 9 6 2 3 2" xfId="13509"/>
    <cellStyle name="Normal 9 6 2 3 2 2" xfId="13510"/>
    <cellStyle name="Normal 9 6 2 3 3" xfId="13511"/>
    <cellStyle name="Normal 9 6 2 4" xfId="13512"/>
    <cellStyle name="Normal 9 6 2 4 2" xfId="13513"/>
    <cellStyle name="Normal 9 6 2 5" xfId="13514"/>
    <cellStyle name="Normal 9 6 3" xfId="13515"/>
    <cellStyle name="Normal 9 6 3 2" xfId="13516"/>
    <cellStyle name="Normal 9 6 3 2 2" xfId="13517"/>
    <cellStyle name="Normal 9 6 3 3" xfId="13518"/>
    <cellStyle name="Normal 9 6 3 3 2" xfId="13519"/>
    <cellStyle name="Normal 9 6 3 4" xfId="13520"/>
    <cellStyle name="Normal 9 6 4" xfId="13521"/>
    <cellStyle name="Normal 9 6 4 2" xfId="13522"/>
    <cellStyle name="Normal 9 6 4 2 2" xfId="13523"/>
    <cellStyle name="Normal 9 6 4 3" xfId="13524"/>
    <cellStyle name="Normal 9 6 5" xfId="13525"/>
    <cellStyle name="Normal 9 6 5 2" xfId="13526"/>
    <cellStyle name="Normal 9 6 6" xfId="13527"/>
    <cellStyle name="Normal 9 7" xfId="13528"/>
    <cellStyle name="Normal 9 7 2" xfId="13529"/>
    <cellStyle name="Normal 9 7 2 2" xfId="13530"/>
    <cellStyle name="Normal 9 7 2 2 2" xfId="13531"/>
    <cellStyle name="Normal 9 7 2 3" xfId="13532"/>
    <cellStyle name="Normal 9 7 3" xfId="13533"/>
    <cellStyle name="Normal 9 7 3 2" xfId="13534"/>
    <cellStyle name="Normal 9 7 3 2 2" xfId="13535"/>
    <cellStyle name="Normal 9 7 3 3" xfId="13536"/>
    <cellStyle name="Normal 9 7 4" xfId="13537"/>
    <cellStyle name="Normal 9 7 4 2" xfId="13538"/>
    <cellStyle name="Normal 9 7 5" xfId="13539"/>
    <cellStyle name="Normal 9 7 5 2" xfId="13540"/>
    <cellStyle name="Normal 9 7 6" xfId="13541"/>
    <cellStyle name="Normal 9 8" xfId="13542"/>
    <cellStyle name="Normal 9 8 2" xfId="13543"/>
    <cellStyle name="Normal 9 8 2 2" xfId="13544"/>
    <cellStyle name="Normal 9 8 3" xfId="13545"/>
    <cellStyle name="Normal 9 8 3 2" xfId="13546"/>
    <cellStyle name="Normal 9 8 4" xfId="13547"/>
    <cellStyle name="Normal 9 9" xfId="13548"/>
    <cellStyle name="Normal 9 9 2" xfId="13549"/>
    <cellStyle name="Normal 9 9 2 2" xfId="13550"/>
    <cellStyle name="Normal 9 9 3" xfId="13551"/>
    <cellStyle name="Normal 9 9 3 2" xfId="13552"/>
    <cellStyle name="Normal 9 9 4" xfId="13553"/>
    <cellStyle name="Normal 9_2180" xfId="13554"/>
    <cellStyle name="Normal 90" xfId="13555"/>
    <cellStyle name="Normal 90 2" xfId="13556"/>
    <cellStyle name="Normal 90 2 2" xfId="13557"/>
    <cellStyle name="Normal 90 3" xfId="13558"/>
    <cellStyle name="Normal 90 4" xfId="13559"/>
    <cellStyle name="Normal 91" xfId="13560"/>
    <cellStyle name="Normal 91 2" xfId="13561"/>
    <cellStyle name="Normal 91 3" xfId="13562"/>
    <cellStyle name="Normal 92" xfId="13563"/>
    <cellStyle name="Normal 92 2" xfId="13564"/>
    <cellStyle name="Normal 92 2 2" xfId="13565"/>
    <cellStyle name="Normal 92 2 2 2" xfId="13566"/>
    <cellStyle name="Normal 92 2 3" xfId="13567"/>
    <cellStyle name="Normal 92 3" xfId="13568"/>
    <cellStyle name="Normal 92 4" xfId="13569"/>
    <cellStyle name="Normal 93" xfId="13570"/>
    <cellStyle name="Normal 93 2" xfId="13571"/>
    <cellStyle name="Normal 93 2 2" xfId="13572"/>
    <cellStyle name="Normal 93 3" xfId="13573"/>
    <cellStyle name="Normal 93 3 2" xfId="13574"/>
    <cellStyle name="Normal 93 4" xfId="13575"/>
    <cellStyle name="Normal 93 5" xfId="13576"/>
    <cellStyle name="Normal 94" xfId="13577"/>
    <cellStyle name="Normal 94 2" xfId="13578"/>
    <cellStyle name="Normal 94 2 2" xfId="13579"/>
    <cellStyle name="Normal 94 3" xfId="13580"/>
    <cellStyle name="Normal 94 3 2" xfId="13581"/>
    <cellStyle name="Normal 94 4" xfId="13582"/>
    <cellStyle name="Normal 94 5" xfId="13583"/>
    <cellStyle name="Normal 95" xfId="13584"/>
    <cellStyle name="Normal 95 2" xfId="13585"/>
    <cellStyle name="Normal 95 2 2" xfId="13586"/>
    <cellStyle name="Normal 95 3" xfId="13587"/>
    <cellStyle name="Normal 95 3 2" xfId="13588"/>
    <cellStyle name="Normal 95 4" xfId="13589"/>
    <cellStyle name="Normal 95 5" xfId="13590"/>
    <cellStyle name="Normal 96" xfId="13591"/>
    <cellStyle name="Normal 96 2" xfId="13592"/>
    <cellStyle name="Normal 96 2 2" xfId="13593"/>
    <cellStyle name="Normal 96 3" xfId="13594"/>
    <cellStyle name="Normal 96 3 2" xfId="13595"/>
    <cellStyle name="Normal 96 4" xfId="13596"/>
    <cellStyle name="Normal 96 5" xfId="13597"/>
    <cellStyle name="Normal 97" xfId="13598"/>
    <cellStyle name="Normal 97 2" xfId="13599"/>
    <cellStyle name="Normal 97 2 2" xfId="13600"/>
    <cellStyle name="Normal 97 3" xfId="13601"/>
    <cellStyle name="Normal 97 3 2" xfId="13602"/>
    <cellStyle name="Normal 97 4" xfId="13603"/>
    <cellStyle name="Normal 97 5" xfId="13604"/>
    <cellStyle name="Normal 98" xfId="13605"/>
    <cellStyle name="Normal 98 2" xfId="13606"/>
    <cellStyle name="Normal 98 2 2" xfId="13607"/>
    <cellStyle name="Normal 98 2 2 2" xfId="13608"/>
    <cellStyle name="Normal 98 2 3" xfId="13609"/>
    <cellStyle name="Normal 98 3" xfId="13610"/>
    <cellStyle name="Normal 98 4" xfId="13611"/>
    <cellStyle name="Normal 99" xfId="13612"/>
    <cellStyle name="Normal 99 2" xfId="13613"/>
    <cellStyle name="Normal 99 2 2" xfId="13614"/>
    <cellStyle name="Normal 99 3" xfId="13615"/>
    <cellStyle name="Normal 99 3 2" xfId="13616"/>
    <cellStyle name="Normal 99 4" xfId="13617"/>
    <cellStyle name="Normal 99 4 2" xfId="13618"/>
    <cellStyle name="Normal 99 5" xfId="13619"/>
    <cellStyle name="Normal 99 6" xfId="13620"/>
    <cellStyle name="Note 2" xfId="13621"/>
    <cellStyle name="Note 2 2" xfId="13622"/>
    <cellStyle name="Note 2 2 2" xfId="13623"/>
    <cellStyle name="Note 2 2 2 2" xfId="13624"/>
    <cellStyle name="Note 2 2 2 2 2" xfId="13625"/>
    <cellStyle name="Note 2 2 2 3" xfId="13626"/>
    <cellStyle name="Note 2 2 2 3 2" xfId="13627"/>
    <cellStyle name="Note 2 2 2 4" xfId="13628"/>
    <cellStyle name="Note 2 2 2 4 2" xfId="13629"/>
    <cellStyle name="Note 2 2 2 5" xfId="13630"/>
    <cellStyle name="Note 2 2 2 5 2" xfId="13631"/>
    <cellStyle name="Note 2 2 2 6" xfId="13632"/>
    <cellStyle name="Note 2 2 3" xfId="13633"/>
    <cellStyle name="Note 2 2 3 2" xfId="13634"/>
    <cellStyle name="Note 2 2 3 2 2" xfId="13635"/>
    <cellStyle name="Note 2 2 3 3" xfId="13636"/>
    <cellStyle name="Note 2 2 3 3 2" xfId="13637"/>
    <cellStyle name="Note 2 2 3 4" xfId="13638"/>
    <cellStyle name="Note 2 2 3 4 2" xfId="13639"/>
    <cellStyle name="Note 2 2 3 5" xfId="13640"/>
    <cellStyle name="Note 2 2 3 5 2" xfId="13641"/>
    <cellStyle name="Note 2 2 3 6" xfId="13642"/>
    <cellStyle name="Note 2 2 4" xfId="13643"/>
    <cellStyle name="Note 2 2 5" xfId="13644"/>
    <cellStyle name="Note 2 3" xfId="13645"/>
    <cellStyle name="Note 2 3 2" xfId="13646"/>
    <cellStyle name="Note 2 3 2 2" xfId="13647"/>
    <cellStyle name="Note 2 3 2 2 2" xfId="13648"/>
    <cellStyle name="Note 2 3 2 3" xfId="13649"/>
    <cellStyle name="Note 2 3 2 3 2" xfId="13650"/>
    <cellStyle name="Note 2 3 2 4" xfId="13651"/>
    <cellStyle name="Note 2 3 2 4 2" xfId="13652"/>
    <cellStyle name="Note 2 3 2 5" xfId="13653"/>
    <cellStyle name="Note 2 3 2 5 2" xfId="13654"/>
    <cellStyle name="Note 2 3 2 6" xfId="13655"/>
    <cellStyle name="Note 2 3 3" xfId="13656"/>
    <cellStyle name="Note 2 3 3 2" xfId="13657"/>
    <cellStyle name="Note 2 3 4" xfId="13658"/>
    <cellStyle name="Note 2 3 5" xfId="13659"/>
    <cellStyle name="Note 2 4" xfId="13660"/>
    <cellStyle name="Note 2 4 2" xfId="13661"/>
    <cellStyle name="Note 2 4 2 2" xfId="13662"/>
    <cellStyle name="Note 2 4 2 2 2" xfId="13663"/>
    <cellStyle name="Note 2 4 2 3" xfId="13664"/>
    <cellStyle name="Note 2 4 2 3 2" xfId="13665"/>
    <cellStyle name="Note 2 4 2 4" xfId="13666"/>
    <cellStyle name="Note 2 4 2 4 2" xfId="13667"/>
    <cellStyle name="Note 2 4 2 5" xfId="13668"/>
    <cellStyle name="Note 2 4 2 5 2" xfId="13669"/>
    <cellStyle name="Note 2 4 2 6" xfId="13670"/>
    <cellStyle name="Note 2 4 3" xfId="13671"/>
    <cellStyle name="Note 2 4 3 2" xfId="13672"/>
    <cellStyle name="Note 2 4 4" xfId="13673"/>
    <cellStyle name="Note 2 4 5" xfId="13674"/>
    <cellStyle name="Note 2 5" xfId="13675"/>
    <cellStyle name="Note 2 5 2" xfId="13676"/>
    <cellStyle name="Note 2 5 2 2" xfId="13677"/>
    <cellStyle name="Note 2 5 3" xfId="13678"/>
    <cellStyle name="Note 2 5 3 2" xfId="13679"/>
    <cellStyle name="Note 2 5 4" xfId="13680"/>
    <cellStyle name="Note 2 5 4 2" xfId="13681"/>
    <cellStyle name="Note 2 5 5" xfId="13682"/>
    <cellStyle name="Note 2 5 5 2" xfId="13683"/>
    <cellStyle name="Note 2 5 6" xfId="13684"/>
    <cellStyle name="Note 2 6" xfId="13685"/>
    <cellStyle name="Note 2 6 2" xfId="13686"/>
    <cellStyle name="Note 2 7" xfId="13687"/>
    <cellStyle name="Note 2 8" xfId="13688"/>
    <cellStyle name="Note 2 9" xfId="13689"/>
    <cellStyle name="Note 3" xfId="13690"/>
    <cellStyle name="Note 3 2" xfId="13691"/>
    <cellStyle name="Note 3 2 2" xfId="13692"/>
    <cellStyle name="Note 3 2 2 2" xfId="13693"/>
    <cellStyle name="Note 3 2 2 2 2" xfId="13694"/>
    <cellStyle name="Note 3 2 2 3" xfId="13695"/>
    <cellStyle name="Note 3 2 2 3 2" xfId="13696"/>
    <cellStyle name="Note 3 2 2 4" xfId="13697"/>
    <cellStyle name="Note 3 2 2 4 2" xfId="13698"/>
    <cellStyle name="Note 3 2 2 5" xfId="13699"/>
    <cellStyle name="Note 3 2 2 5 2" xfId="13700"/>
    <cellStyle name="Note 3 2 2 6" xfId="13701"/>
    <cellStyle name="Note 3 2 3" xfId="13702"/>
    <cellStyle name="Note 3 2 3 2" xfId="13703"/>
    <cellStyle name="Note 3 2 3 2 2" xfId="13704"/>
    <cellStyle name="Note 3 2 3 3" xfId="13705"/>
    <cellStyle name="Note 3 2 3 3 2" xfId="13706"/>
    <cellStyle name="Note 3 2 3 4" xfId="13707"/>
    <cellStyle name="Note 3 2 3 4 2" xfId="13708"/>
    <cellStyle name="Note 3 2 3 5" xfId="13709"/>
    <cellStyle name="Note 3 2 3 5 2" xfId="13710"/>
    <cellStyle name="Note 3 2 3 6" xfId="13711"/>
    <cellStyle name="Note 3 2 4" xfId="13712"/>
    <cellStyle name="Note 3 2 5" xfId="13713"/>
    <cellStyle name="Note 3 3" xfId="13714"/>
    <cellStyle name="Note 3 3 2" xfId="13715"/>
    <cellStyle name="Note 3 3 2 2" xfId="13716"/>
    <cellStyle name="Note 3 3 2 2 2" xfId="13717"/>
    <cellStyle name="Note 3 3 2 3" xfId="13718"/>
    <cellStyle name="Note 3 3 2 3 2" xfId="13719"/>
    <cellStyle name="Note 3 3 2 4" xfId="13720"/>
    <cellStyle name="Note 3 3 2 4 2" xfId="13721"/>
    <cellStyle name="Note 3 3 2 5" xfId="13722"/>
    <cellStyle name="Note 3 3 2 5 2" xfId="13723"/>
    <cellStyle name="Note 3 3 2 6" xfId="13724"/>
    <cellStyle name="Note 3 3 3" xfId="13725"/>
    <cellStyle name="Note 3 3 3 2" xfId="13726"/>
    <cellStyle name="Note 3 3 4" xfId="13727"/>
    <cellStyle name="Note 3 3 5" xfId="13728"/>
    <cellStyle name="Note 3 4" xfId="13729"/>
    <cellStyle name="Note 3 4 2" xfId="13730"/>
    <cellStyle name="Note 3 4 2 2" xfId="13731"/>
    <cellStyle name="Note 3 4 2 2 2" xfId="13732"/>
    <cellStyle name="Note 3 4 2 3" xfId="13733"/>
    <cellStyle name="Note 3 4 2 3 2" xfId="13734"/>
    <cellStyle name="Note 3 4 2 4" xfId="13735"/>
    <cellStyle name="Note 3 4 2 4 2" xfId="13736"/>
    <cellStyle name="Note 3 4 2 5" xfId="13737"/>
    <cellStyle name="Note 3 4 2 5 2" xfId="13738"/>
    <cellStyle name="Note 3 4 2 6" xfId="13739"/>
    <cellStyle name="Note 3 4 3" xfId="13740"/>
    <cellStyle name="Note 3 4 3 2" xfId="13741"/>
    <cellStyle name="Note 3 4 4" xfId="13742"/>
    <cellStyle name="Note 3 4 5" xfId="13743"/>
    <cellStyle name="Note 3 5" xfId="13744"/>
    <cellStyle name="Note 3 5 2" xfId="13745"/>
    <cellStyle name="Note 3 5 2 2" xfId="13746"/>
    <cellStyle name="Note 3 5 3" xfId="13747"/>
    <cellStyle name="Note 3 5 3 2" xfId="13748"/>
    <cellStyle name="Note 3 5 4" xfId="13749"/>
    <cellStyle name="Note 3 5 4 2" xfId="13750"/>
    <cellStyle name="Note 3 5 5" xfId="13751"/>
    <cellStyle name="Note 3 5 5 2" xfId="13752"/>
    <cellStyle name="Note 3 5 6" xfId="13753"/>
    <cellStyle name="Note 3 6" xfId="13754"/>
    <cellStyle name="Note 3 6 2" xfId="13755"/>
    <cellStyle name="Note 3 7" xfId="13756"/>
    <cellStyle name="Note 3 8" xfId="13757"/>
    <cellStyle name="Note 3 9" xfId="13758"/>
    <cellStyle name="Note 4" xfId="13759"/>
    <cellStyle name="Note 4 2" xfId="13760"/>
    <cellStyle name="Note 4 2 2" xfId="13761"/>
    <cellStyle name="Note 4 3" xfId="13762"/>
    <cellStyle name="Note 4 3 2" xfId="13763"/>
    <cellStyle name="Note 4 3 2 2" xfId="13764"/>
    <cellStyle name="Note 4 3 3" xfId="13765"/>
    <cellStyle name="Note 4 3 3 2" xfId="13766"/>
    <cellStyle name="Note 4 3 4" xfId="13767"/>
    <cellStyle name="Note 4 3 4 2" xfId="13768"/>
    <cellStyle name="Note 4 3 5" xfId="13769"/>
    <cellStyle name="Note 4 3 5 2" xfId="13770"/>
    <cellStyle name="Note 4 3 6" xfId="13771"/>
    <cellStyle name="Note 4 4" xfId="13772"/>
    <cellStyle name="Note 4 4 2" xfId="13773"/>
    <cellStyle name="Note 4 5" xfId="13774"/>
    <cellStyle name="Note 4 5 2" xfId="13775"/>
    <cellStyle name="Note 4 6" xfId="13776"/>
    <cellStyle name="Note 4 7" xfId="13777"/>
    <cellStyle name="Note 5" xfId="13778"/>
    <cellStyle name="Note 5 2" xfId="13779"/>
    <cellStyle name="Note 5 2 2" xfId="13780"/>
    <cellStyle name="Note 5 2 2 2" xfId="13781"/>
    <cellStyle name="Note 5 2 3" xfId="13782"/>
    <cellStyle name="Note 5 2 3 2" xfId="13783"/>
    <cellStyle name="Note 5 2 4" xfId="13784"/>
    <cellStyle name="Note 5 2 4 2" xfId="13785"/>
    <cellStyle name="Note 5 2 5" xfId="13786"/>
    <cellStyle name="Note 5 2 5 2" xfId="13787"/>
    <cellStyle name="Note 5 2 6" xfId="13788"/>
    <cellStyle name="Note 5 3" xfId="13789"/>
    <cellStyle name="Note 6" xfId="13790"/>
    <cellStyle name="Note 6 2" xfId="13791"/>
    <cellStyle name="Notes" xfId="13792"/>
    <cellStyle name="Notes 2" xfId="13793"/>
    <cellStyle name="Notes 3" xfId="13794"/>
    <cellStyle name="Output 2" xfId="13795"/>
    <cellStyle name="Output 2 2" xfId="13796"/>
    <cellStyle name="Output 2 2 2" xfId="13797"/>
    <cellStyle name="Output 2 2 2 2" xfId="13798"/>
    <cellStyle name="Output 2 2 2 2 2" xfId="13799"/>
    <cellStyle name="Output 2 2 2 2 2 2" xfId="13800"/>
    <cellStyle name="Output 2 2 2 2 3" xfId="13801"/>
    <cellStyle name="Output 2 2 2 2 3 2" xfId="13802"/>
    <cellStyle name="Output 2 2 2 2 4" xfId="13803"/>
    <cellStyle name="Output 2 2 2 2 4 2" xfId="13804"/>
    <cellStyle name="Output 2 2 2 2 5" xfId="13805"/>
    <cellStyle name="Output 2 2 2 2 5 2" xfId="13806"/>
    <cellStyle name="Output 2 2 2 2 6" xfId="13807"/>
    <cellStyle name="Output 2 2 2 3" xfId="13808"/>
    <cellStyle name="Output 2 2 2 3 2" xfId="13809"/>
    <cellStyle name="Output 2 2 2 4" xfId="13810"/>
    <cellStyle name="Output 2 2 3" xfId="13811"/>
    <cellStyle name="Output 2 2 3 2" xfId="13812"/>
    <cellStyle name="Output 2 2 3 2 2" xfId="13813"/>
    <cellStyle name="Output 2 2 3 3" xfId="13814"/>
    <cellStyle name="Output 2 2 3 3 2" xfId="13815"/>
    <cellStyle name="Output 2 2 3 4" xfId="13816"/>
    <cellStyle name="Output 2 2 3 4 2" xfId="13817"/>
    <cellStyle name="Output 2 2 3 5" xfId="13818"/>
    <cellStyle name="Output 2 2 3 5 2" xfId="13819"/>
    <cellStyle name="Output 2 2 3 6" xfId="13820"/>
    <cellStyle name="Output 2 2 4" xfId="13821"/>
    <cellStyle name="Output 2 2 4 2" xfId="13822"/>
    <cellStyle name="Output 2 2 5" xfId="13823"/>
    <cellStyle name="Output 2 2 6" xfId="13824"/>
    <cellStyle name="Output 2 3" xfId="13825"/>
    <cellStyle name="Output 2 3 2" xfId="13826"/>
    <cellStyle name="Output 2 3 2 2" xfId="13827"/>
    <cellStyle name="Output 2 3 2 2 2" xfId="13828"/>
    <cellStyle name="Output 2 3 2 3" xfId="13829"/>
    <cellStyle name="Output 2 3 2 3 2" xfId="13830"/>
    <cellStyle name="Output 2 3 2 4" xfId="13831"/>
    <cellStyle name="Output 2 3 2 4 2" xfId="13832"/>
    <cellStyle name="Output 2 3 2 5" xfId="13833"/>
    <cellStyle name="Output 2 3 2 5 2" xfId="13834"/>
    <cellStyle name="Output 2 3 2 6" xfId="13835"/>
    <cellStyle name="Output 2 3 3" xfId="13836"/>
    <cellStyle name="Output 2 3 3 2" xfId="13837"/>
    <cellStyle name="Output 2 3 4" xfId="13838"/>
    <cellStyle name="Output 2 3 5" xfId="13839"/>
    <cellStyle name="Output 2 4" xfId="13840"/>
    <cellStyle name="Output 2 4 2" xfId="13841"/>
    <cellStyle name="Output 2 4 2 2" xfId="13842"/>
    <cellStyle name="Output 2 4 3" xfId="13843"/>
    <cellStyle name="Output 2 4 3 2" xfId="13844"/>
    <cellStyle name="Output 2 4 4" xfId="13845"/>
    <cellStyle name="Output 2 4 4 2" xfId="13846"/>
    <cellStyle name="Output 2 4 5" xfId="13847"/>
    <cellStyle name="Output 2 4 5 2" xfId="13848"/>
    <cellStyle name="Output 2 4 6" xfId="13849"/>
    <cellStyle name="Output 2 5" xfId="13850"/>
    <cellStyle name="Output 2 5 2" xfId="13851"/>
    <cellStyle name="Output 2 6" xfId="13852"/>
    <cellStyle name="Output 2 7" xfId="13853"/>
    <cellStyle name="Output 2 8" xfId="13854"/>
    <cellStyle name="Output 3" xfId="13855"/>
    <cellStyle name="Output 3 2" xfId="13856"/>
    <cellStyle name="Output 3 2 2" xfId="13857"/>
    <cellStyle name="Output 3 2 2 2" xfId="13858"/>
    <cellStyle name="Output 3 2 2 2 2" xfId="13859"/>
    <cellStyle name="Output 3 2 2 3" xfId="13860"/>
    <cellStyle name="Output 3 2 2 3 2" xfId="13861"/>
    <cellStyle name="Output 3 2 2 4" xfId="13862"/>
    <cellStyle name="Output 3 2 2 4 2" xfId="13863"/>
    <cellStyle name="Output 3 2 2 5" xfId="13864"/>
    <cellStyle name="Output 3 2 2 5 2" xfId="13865"/>
    <cellStyle name="Output 3 2 2 6" xfId="13866"/>
    <cellStyle name="Output 3 2 3" xfId="13867"/>
    <cellStyle name="Output 3 2 3 2" xfId="13868"/>
    <cellStyle name="Output 3 2 4" xfId="13869"/>
    <cellStyle name="Output 3 2 5" xfId="13870"/>
    <cellStyle name="Output 3 3" xfId="13871"/>
    <cellStyle name="Output 3 3 2" xfId="13872"/>
    <cellStyle name="Output 3 3 2 2" xfId="13873"/>
    <cellStyle name="Output 3 3 3" xfId="13874"/>
    <cellStyle name="Output 3 3 3 2" xfId="13875"/>
    <cellStyle name="Output 3 3 4" xfId="13876"/>
    <cellStyle name="Output 3 3 4 2" xfId="13877"/>
    <cellStyle name="Output 3 3 5" xfId="13878"/>
    <cellStyle name="Output 3 3 5 2" xfId="13879"/>
    <cellStyle name="Output 3 3 6" xfId="13880"/>
    <cellStyle name="Output 3 3 7" xfId="13881"/>
    <cellStyle name="Output 3 4" xfId="13882"/>
    <cellStyle name="Output 3 4 2" xfId="13883"/>
    <cellStyle name="Output 3 4 2 2" xfId="13884"/>
    <cellStyle name="Output 3 4 3" xfId="13885"/>
    <cellStyle name="Output 3 4 3 2" xfId="13886"/>
    <cellStyle name="Output 3 4 4" xfId="13887"/>
    <cellStyle name="Output 3 4 4 2" xfId="13888"/>
    <cellStyle name="Output 3 4 5" xfId="13889"/>
    <cellStyle name="Output 3 4 5 2" xfId="13890"/>
    <cellStyle name="Output 3 4 6" xfId="13891"/>
    <cellStyle name="Output 3 5" xfId="13892"/>
    <cellStyle name="Output 3 5 2" xfId="13893"/>
    <cellStyle name="Output 3 6" xfId="13894"/>
    <cellStyle name="Output 3 7" xfId="13895"/>
    <cellStyle name="Output 3 8" xfId="13896"/>
    <cellStyle name="Output 4" xfId="13897"/>
    <cellStyle name="Output 4 2" xfId="13898"/>
    <cellStyle name="Output 5" xfId="13899"/>
    <cellStyle name="Output 6" xfId="13900"/>
    <cellStyle name="Percent 10" xfId="13901"/>
    <cellStyle name="Percent 10 2" xfId="13902"/>
    <cellStyle name="Percent 10 2 2" xfId="13903"/>
    <cellStyle name="Percent 10 3" xfId="13904"/>
    <cellStyle name="Percent 10 3 2" xfId="13905"/>
    <cellStyle name="Percent 10 4" xfId="13906"/>
    <cellStyle name="Percent 10 4 2" xfId="13907"/>
    <cellStyle name="Percent 10 5" xfId="13908"/>
    <cellStyle name="Percent 10 6" xfId="13909"/>
    <cellStyle name="Percent 11" xfId="13910"/>
    <cellStyle name="Percent 11 2" xfId="13911"/>
    <cellStyle name="Percent 11 2 2" xfId="13912"/>
    <cellStyle name="Percent 11 2 2 2" xfId="13913"/>
    <cellStyle name="Percent 11 2 3" xfId="13914"/>
    <cellStyle name="Percent 11 3" xfId="13915"/>
    <cellStyle name="Percent 11 3 2" xfId="13916"/>
    <cellStyle name="Percent 11 3 2 2" xfId="13917"/>
    <cellStyle name="Percent 11 3 3" xfId="13918"/>
    <cellStyle name="Percent 11 4" xfId="13919"/>
    <cellStyle name="Percent 11 4 2" xfId="13920"/>
    <cellStyle name="Percent 11 5" xfId="13921"/>
    <cellStyle name="Percent 12" xfId="13922"/>
    <cellStyle name="Percent 12 2" xfId="13923"/>
    <cellStyle name="Percent 13" xfId="13924"/>
    <cellStyle name="Percent 13 2" xfId="13925"/>
    <cellStyle name="Percent 14" xfId="13926"/>
    <cellStyle name="Percent 14 2" xfId="13927"/>
    <cellStyle name="Percent 14 2 2" xfId="13928"/>
    <cellStyle name="Percent 14 2 2 2" xfId="13929"/>
    <cellStyle name="Percent 14 2 3" xfId="13930"/>
    <cellStyle name="Percent 14 3" xfId="13931"/>
    <cellStyle name="Percent 15" xfId="13932"/>
    <cellStyle name="Percent 16" xfId="13933"/>
    <cellStyle name="Percent 16 2" xfId="13934"/>
    <cellStyle name="Percent 16 2 2" xfId="13935"/>
    <cellStyle name="Percent 16 2 2 2" xfId="13936"/>
    <cellStyle name="Percent 16 2 3" xfId="13937"/>
    <cellStyle name="Percent 2" xfId="13938"/>
    <cellStyle name="Percent 2 2" xfId="13939"/>
    <cellStyle name="Percent 2 2 2" xfId="13940"/>
    <cellStyle name="Percent 2 2 2 2" xfId="13941"/>
    <cellStyle name="Percent 2 2 2 3" xfId="13942"/>
    <cellStyle name="Percent 2 2 3" xfId="13943"/>
    <cellStyle name="Percent 2 2 3 2" xfId="13944"/>
    <cellStyle name="Percent 2 2 3 2 2" xfId="13945"/>
    <cellStyle name="Percent 2 2 3 3" xfId="13946"/>
    <cellStyle name="Percent 2 2 3 4" xfId="13947"/>
    <cellStyle name="Percent 2 2 4" xfId="13948"/>
    <cellStyle name="Percent 2 2 5" xfId="13949"/>
    <cellStyle name="Percent 2 2 6" xfId="13950"/>
    <cellStyle name="Percent 2 3" xfId="13951"/>
    <cellStyle name="Percent 2 3 2" xfId="13952"/>
    <cellStyle name="Percent 2 3 2 2" xfId="13953"/>
    <cellStyle name="Percent 2 3 3" xfId="13954"/>
    <cellStyle name="Percent 2 3 3 2" xfId="13955"/>
    <cellStyle name="Percent 2 3 4" xfId="13956"/>
    <cellStyle name="Percent 2 3 5" xfId="13957"/>
    <cellStyle name="Percent 2 4" xfId="13958"/>
    <cellStyle name="Percent 2 4 2" xfId="13959"/>
    <cellStyle name="Percent 2 4 2 2" xfId="13960"/>
    <cellStyle name="Percent 2 4 3" xfId="13961"/>
    <cellStyle name="Percent 2 4 3 2" xfId="13962"/>
    <cellStyle name="Percent 2 4 4" xfId="13963"/>
    <cellStyle name="Percent 2 4 5" xfId="13964"/>
    <cellStyle name="Percent 2 5" xfId="13965"/>
    <cellStyle name="Percent 2 5 2" xfId="13966"/>
    <cellStyle name="Percent 2 6" xfId="13967"/>
    <cellStyle name="Percent 2 6 2" xfId="13968"/>
    <cellStyle name="Percent 2 6 3" xfId="13969"/>
    <cellStyle name="Percent 2 7" xfId="13970"/>
    <cellStyle name="Percent 2 8" xfId="13971"/>
    <cellStyle name="Percent 2 9" xfId="13972"/>
    <cellStyle name="Percent 3" xfId="13973"/>
    <cellStyle name="Percent 3 10" xfId="13974"/>
    <cellStyle name="Percent 3 10 2" xfId="13975"/>
    <cellStyle name="Percent 3 11" xfId="13976"/>
    <cellStyle name="Percent 3 12" xfId="13977"/>
    <cellStyle name="Percent 3 13" xfId="13978"/>
    <cellStyle name="Percent 3 2" xfId="13979"/>
    <cellStyle name="Percent 3 2 10" xfId="13980"/>
    <cellStyle name="Percent 3 2 2" xfId="13981"/>
    <cellStyle name="Percent 3 2 2 2" xfId="13982"/>
    <cellStyle name="Percent 3 2 2 2 2" xfId="13983"/>
    <cellStyle name="Percent 3 2 2 2 2 2" xfId="13984"/>
    <cellStyle name="Percent 3 2 2 2 2 2 2" xfId="13985"/>
    <cellStyle name="Percent 3 2 2 2 2 2 2 2" xfId="13986"/>
    <cellStyle name="Percent 3 2 2 2 2 2 2 2 2" xfId="13987"/>
    <cellStyle name="Percent 3 2 2 2 2 2 2 3" xfId="13988"/>
    <cellStyle name="Percent 3 2 2 2 2 2 3" xfId="13989"/>
    <cellStyle name="Percent 3 2 2 2 2 2 3 2" xfId="13990"/>
    <cellStyle name="Percent 3 2 2 2 2 2 3 2 2" xfId="13991"/>
    <cellStyle name="Percent 3 2 2 2 2 2 3 3" xfId="13992"/>
    <cellStyle name="Percent 3 2 2 2 2 2 4" xfId="13993"/>
    <cellStyle name="Percent 3 2 2 2 2 2 4 2" xfId="13994"/>
    <cellStyle name="Percent 3 2 2 2 2 2 5" xfId="13995"/>
    <cellStyle name="Percent 3 2 2 2 2 3" xfId="13996"/>
    <cellStyle name="Percent 3 2 2 2 2 3 2" xfId="13997"/>
    <cellStyle name="Percent 3 2 2 2 2 3 2 2" xfId="13998"/>
    <cellStyle name="Percent 3 2 2 2 2 3 3" xfId="13999"/>
    <cellStyle name="Percent 3 2 2 2 2 4" xfId="14000"/>
    <cellStyle name="Percent 3 2 2 2 2 4 2" xfId="14001"/>
    <cellStyle name="Percent 3 2 2 2 2 4 2 2" xfId="14002"/>
    <cellStyle name="Percent 3 2 2 2 2 4 3" xfId="14003"/>
    <cellStyle name="Percent 3 2 2 2 2 5" xfId="14004"/>
    <cellStyle name="Percent 3 2 2 2 2 5 2" xfId="14005"/>
    <cellStyle name="Percent 3 2 2 2 2 6" xfId="14006"/>
    <cellStyle name="Percent 3 2 2 2 3" xfId="14007"/>
    <cellStyle name="Percent 3 2 2 2 3 2" xfId="14008"/>
    <cellStyle name="Percent 3 2 2 2 3 2 2" xfId="14009"/>
    <cellStyle name="Percent 3 2 2 2 3 2 2 2" xfId="14010"/>
    <cellStyle name="Percent 3 2 2 2 3 2 3" xfId="14011"/>
    <cellStyle name="Percent 3 2 2 2 3 3" xfId="14012"/>
    <cellStyle name="Percent 3 2 2 2 3 3 2" xfId="14013"/>
    <cellStyle name="Percent 3 2 2 2 3 3 2 2" xfId="14014"/>
    <cellStyle name="Percent 3 2 2 2 3 3 3" xfId="14015"/>
    <cellStyle name="Percent 3 2 2 2 3 4" xfId="14016"/>
    <cellStyle name="Percent 3 2 2 2 3 4 2" xfId="14017"/>
    <cellStyle name="Percent 3 2 2 2 3 5" xfId="14018"/>
    <cellStyle name="Percent 3 2 2 2 4" xfId="14019"/>
    <cellStyle name="Percent 3 2 2 2 4 2" xfId="14020"/>
    <cellStyle name="Percent 3 2 2 2 4 2 2" xfId="14021"/>
    <cellStyle name="Percent 3 2 2 2 4 3" xfId="14022"/>
    <cellStyle name="Percent 3 2 2 2 5" xfId="14023"/>
    <cellStyle name="Percent 3 2 2 2 5 2" xfId="14024"/>
    <cellStyle name="Percent 3 2 2 2 5 2 2" xfId="14025"/>
    <cellStyle name="Percent 3 2 2 2 5 3" xfId="14026"/>
    <cellStyle name="Percent 3 2 2 2 6" xfId="14027"/>
    <cellStyle name="Percent 3 2 2 2 6 2" xfId="14028"/>
    <cellStyle name="Percent 3 2 2 2 7" xfId="14029"/>
    <cellStyle name="Percent 3 2 2 3" xfId="14030"/>
    <cellStyle name="Percent 3 2 2 3 2" xfId="14031"/>
    <cellStyle name="Percent 3 2 2 3 2 2" xfId="14032"/>
    <cellStyle name="Percent 3 2 2 3 2 2 2" xfId="14033"/>
    <cellStyle name="Percent 3 2 2 3 2 2 2 2" xfId="14034"/>
    <cellStyle name="Percent 3 2 2 3 2 2 3" xfId="14035"/>
    <cellStyle name="Percent 3 2 2 3 2 3" xfId="14036"/>
    <cellStyle name="Percent 3 2 2 3 2 3 2" xfId="14037"/>
    <cellStyle name="Percent 3 2 2 3 2 3 2 2" xfId="14038"/>
    <cellStyle name="Percent 3 2 2 3 2 3 3" xfId="14039"/>
    <cellStyle name="Percent 3 2 2 3 2 4" xfId="14040"/>
    <cellStyle name="Percent 3 2 2 3 2 4 2" xfId="14041"/>
    <cellStyle name="Percent 3 2 2 3 2 5" xfId="14042"/>
    <cellStyle name="Percent 3 2 2 3 3" xfId="14043"/>
    <cellStyle name="Percent 3 2 2 3 3 2" xfId="14044"/>
    <cellStyle name="Percent 3 2 2 3 3 2 2" xfId="14045"/>
    <cellStyle name="Percent 3 2 2 3 3 3" xfId="14046"/>
    <cellStyle name="Percent 3 2 2 3 4" xfId="14047"/>
    <cellStyle name="Percent 3 2 2 3 4 2" xfId="14048"/>
    <cellStyle name="Percent 3 2 2 3 4 2 2" xfId="14049"/>
    <cellStyle name="Percent 3 2 2 3 4 3" xfId="14050"/>
    <cellStyle name="Percent 3 2 2 3 5" xfId="14051"/>
    <cellStyle name="Percent 3 2 2 3 5 2" xfId="14052"/>
    <cellStyle name="Percent 3 2 2 3 6" xfId="14053"/>
    <cellStyle name="Percent 3 2 2 4" xfId="14054"/>
    <cellStyle name="Percent 3 2 2 4 2" xfId="14055"/>
    <cellStyle name="Percent 3 2 2 4 2 2" xfId="14056"/>
    <cellStyle name="Percent 3 2 2 4 2 2 2" xfId="14057"/>
    <cellStyle name="Percent 3 2 2 4 2 3" xfId="14058"/>
    <cellStyle name="Percent 3 2 2 4 3" xfId="14059"/>
    <cellStyle name="Percent 3 2 2 4 3 2" xfId="14060"/>
    <cellStyle name="Percent 3 2 2 4 3 2 2" xfId="14061"/>
    <cellStyle name="Percent 3 2 2 4 3 3" xfId="14062"/>
    <cellStyle name="Percent 3 2 2 4 4" xfId="14063"/>
    <cellStyle name="Percent 3 2 2 4 4 2" xfId="14064"/>
    <cellStyle name="Percent 3 2 2 4 5" xfId="14065"/>
    <cellStyle name="Percent 3 2 2 5" xfId="14066"/>
    <cellStyle name="Percent 3 2 2 5 2" xfId="14067"/>
    <cellStyle name="Percent 3 2 2 5 2 2" xfId="14068"/>
    <cellStyle name="Percent 3 2 2 5 3" xfId="14069"/>
    <cellStyle name="Percent 3 2 2 6" xfId="14070"/>
    <cellStyle name="Percent 3 2 2 6 2" xfId="14071"/>
    <cellStyle name="Percent 3 2 2 6 2 2" xfId="14072"/>
    <cellStyle name="Percent 3 2 2 6 3" xfId="14073"/>
    <cellStyle name="Percent 3 2 2 7" xfId="14074"/>
    <cellStyle name="Percent 3 2 2 7 2" xfId="14075"/>
    <cellStyle name="Percent 3 2 2 8" xfId="14076"/>
    <cellStyle name="Percent 3 2 2 9" xfId="14077"/>
    <cellStyle name="Percent 3 2 3" xfId="14078"/>
    <cellStyle name="Percent 3 2 3 2" xfId="14079"/>
    <cellStyle name="Percent 3 2 3 2 2" xfId="14080"/>
    <cellStyle name="Percent 3 2 3 2 2 2" xfId="14081"/>
    <cellStyle name="Percent 3 2 3 2 2 2 2" xfId="14082"/>
    <cellStyle name="Percent 3 2 3 2 2 2 2 2" xfId="14083"/>
    <cellStyle name="Percent 3 2 3 2 2 2 3" xfId="14084"/>
    <cellStyle name="Percent 3 2 3 2 2 3" xfId="14085"/>
    <cellStyle name="Percent 3 2 3 2 2 3 2" xfId="14086"/>
    <cellStyle name="Percent 3 2 3 2 2 3 2 2" xfId="14087"/>
    <cellStyle name="Percent 3 2 3 2 2 3 3" xfId="14088"/>
    <cellStyle name="Percent 3 2 3 2 2 4" xfId="14089"/>
    <cellStyle name="Percent 3 2 3 2 2 4 2" xfId="14090"/>
    <cellStyle name="Percent 3 2 3 2 2 5" xfId="14091"/>
    <cellStyle name="Percent 3 2 3 2 3" xfId="14092"/>
    <cellStyle name="Percent 3 2 3 2 3 2" xfId="14093"/>
    <cellStyle name="Percent 3 2 3 2 3 2 2" xfId="14094"/>
    <cellStyle name="Percent 3 2 3 2 3 3" xfId="14095"/>
    <cellStyle name="Percent 3 2 3 2 4" xfId="14096"/>
    <cellStyle name="Percent 3 2 3 2 4 2" xfId="14097"/>
    <cellStyle name="Percent 3 2 3 2 4 2 2" xfId="14098"/>
    <cellStyle name="Percent 3 2 3 2 4 3" xfId="14099"/>
    <cellStyle name="Percent 3 2 3 2 5" xfId="14100"/>
    <cellStyle name="Percent 3 2 3 2 5 2" xfId="14101"/>
    <cellStyle name="Percent 3 2 3 2 6" xfId="14102"/>
    <cellStyle name="Percent 3 2 3 3" xfId="14103"/>
    <cellStyle name="Percent 3 2 3 3 2" xfId="14104"/>
    <cellStyle name="Percent 3 2 3 3 2 2" xfId="14105"/>
    <cellStyle name="Percent 3 2 3 3 2 2 2" xfId="14106"/>
    <cellStyle name="Percent 3 2 3 3 2 3" xfId="14107"/>
    <cellStyle name="Percent 3 2 3 3 3" xfId="14108"/>
    <cellStyle name="Percent 3 2 3 3 3 2" xfId="14109"/>
    <cellStyle name="Percent 3 2 3 3 3 2 2" xfId="14110"/>
    <cellStyle name="Percent 3 2 3 3 3 3" xfId="14111"/>
    <cellStyle name="Percent 3 2 3 3 4" xfId="14112"/>
    <cellStyle name="Percent 3 2 3 3 4 2" xfId="14113"/>
    <cellStyle name="Percent 3 2 3 3 5" xfId="14114"/>
    <cellStyle name="Percent 3 2 3 4" xfId="14115"/>
    <cellStyle name="Percent 3 2 3 4 2" xfId="14116"/>
    <cellStyle name="Percent 3 2 3 4 2 2" xfId="14117"/>
    <cellStyle name="Percent 3 2 3 4 3" xfId="14118"/>
    <cellStyle name="Percent 3 2 3 5" xfId="14119"/>
    <cellStyle name="Percent 3 2 3 5 2" xfId="14120"/>
    <cellStyle name="Percent 3 2 3 5 2 2" xfId="14121"/>
    <cellStyle name="Percent 3 2 3 5 3" xfId="14122"/>
    <cellStyle name="Percent 3 2 3 6" xfId="14123"/>
    <cellStyle name="Percent 3 2 3 6 2" xfId="14124"/>
    <cellStyle name="Percent 3 2 3 7" xfId="14125"/>
    <cellStyle name="Percent 3 2 4" xfId="14126"/>
    <cellStyle name="Percent 3 2 4 2" xfId="14127"/>
    <cellStyle name="Percent 3 2 4 2 2" xfId="14128"/>
    <cellStyle name="Percent 3 2 4 2 2 2" xfId="14129"/>
    <cellStyle name="Percent 3 2 4 2 2 2 2" xfId="14130"/>
    <cellStyle name="Percent 3 2 4 2 2 3" xfId="14131"/>
    <cellStyle name="Percent 3 2 4 2 3" xfId="14132"/>
    <cellStyle name="Percent 3 2 4 2 3 2" xfId="14133"/>
    <cellStyle name="Percent 3 2 4 2 3 2 2" xfId="14134"/>
    <cellStyle name="Percent 3 2 4 2 3 3" xfId="14135"/>
    <cellStyle name="Percent 3 2 4 2 4" xfId="14136"/>
    <cellStyle name="Percent 3 2 4 2 4 2" xfId="14137"/>
    <cellStyle name="Percent 3 2 4 2 5" xfId="14138"/>
    <cellStyle name="Percent 3 2 4 3" xfId="14139"/>
    <cellStyle name="Percent 3 2 4 3 2" xfId="14140"/>
    <cellStyle name="Percent 3 2 4 3 2 2" xfId="14141"/>
    <cellStyle name="Percent 3 2 4 3 3" xfId="14142"/>
    <cellStyle name="Percent 3 2 4 4" xfId="14143"/>
    <cellStyle name="Percent 3 2 4 4 2" xfId="14144"/>
    <cellStyle name="Percent 3 2 4 4 2 2" xfId="14145"/>
    <cellStyle name="Percent 3 2 4 4 3" xfId="14146"/>
    <cellStyle name="Percent 3 2 4 5" xfId="14147"/>
    <cellStyle name="Percent 3 2 4 5 2" xfId="14148"/>
    <cellStyle name="Percent 3 2 4 6" xfId="14149"/>
    <cellStyle name="Percent 3 2 5" xfId="14150"/>
    <cellStyle name="Percent 3 2 5 2" xfId="14151"/>
    <cellStyle name="Percent 3 2 5 2 2" xfId="14152"/>
    <cellStyle name="Percent 3 2 5 2 2 2" xfId="14153"/>
    <cellStyle name="Percent 3 2 5 2 3" xfId="14154"/>
    <cellStyle name="Percent 3 2 5 3" xfId="14155"/>
    <cellStyle name="Percent 3 2 5 3 2" xfId="14156"/>
    <cellStyle name="Percent 3 2 5 3 2 2" xfId="14157"/>
    <cellStyle name="Percent 3 2 5 3 3" xfId="14158"/>
    <cellStyle name="Percent 3 2 5 4" xfId="14159"/>
    <cellStyle name="Percent 3 2 5 4 2" xfId="14160"/>
    <cellStyle name="Percent 3 2 5 5" xfId="14161"/>
    <cellStyle name="Percent 3 2 6" xfId="14162"/>
    <cellStyle name="Percent 3 2 6 2" xfId="14163"/>
    <cellStyle name="Percent 3 2 6 2 2" xfId="14164"/>
    <cellStyle name="Percent 3 2 6 3" xfId="14165"/>
    <cellStyle name="Percent 3 2 7" xfId="14166"/>
    <cellStyle name="Percent 3 2 7 2" xfId="14167"/>
    <cellStyle name="Percent 3 2 7 2 2" xfId="14168"/>
    <cellStyle name="Percent 3 2 7 3" xfId="14169"/>
    <cellStyle name="Percent 3 2 8" xfId="14170"/>
    <cellStyle name="Percent 3 2 8 2" xfId="14171"/>
    <cellStyle name="Percent 3 2 9" xfId="14172"/>
    <cellStyle name="Percent 3 3" xfId="14173"/>
    <cellStyle name="Percent 3 3 2" xfId="14174"/>
    <cellStyle name="Percent 3 3 2 2" xfId="14175"/>
    <cellStyle name="Percent 3 3 2 2 2" xfId="14176"/>
    <cellStyle name="Percent 3 3 2 2 2 2" xfId="14177"/>
    <cellStyle name="Percent 3 3 2 2 2 2 2" xfId="14178"/>
    <cellStyle name="Percent 3 3 2 2 2 2 2 2" xfId="14179"/>
    <cellStyle name="Percent 3 3 2 2 2 2 3" xfId="14180"/>
    <cellStyle name="Percent 3 3 2 2 2 3" xfId="14181"/>
    <cellStyle name="Percent 3 3 2 2 2 3 2" xfId="14182"/>
    <cellStyle name="Percent 3 3 2 2 2 3 2 2" xfId="14183"/>
    <cellStyle name="Percent 3 3 2 2 2 3 3" xfId="14184"/>
    <cellStyle name="Percent 3 3 2 2 2 4" xfId="14185"/>
    <cellStyle name="Percent 3 3 2 2 2 4 2" xfId="14186"/>
    <cellStyle name="Percent 3 3 2 2 2 5" xfId="14187"/>
    <cellStyle name="Percent 3 3 2 2 3" xfId="14188"/>
    <cellStyle name="Percent 3 3 2 2 3 2" xfId="14189"/>
    <cellStyle name="Percent 3 3 2 2 3 2 2" xfId="14190"/>
    <cellStyle name="Percent 3 3 2 2 3 3" xfId="14191"/>
    <cellStyle name="Percent 3 3 2 2 4" xfId="14192"/>
    <cellStyle name="Percent 3 3 2 2 4 2" xfId="14193"/>
    <cellStyle name="Percent 3 3 2 2 4 2 2" xfId="14194"/>
    <cellStyle name="Percent 3 3 2 2 4 3" xfId="14195"/>
    <cellStyle name="Percent 3 3 2 2 5" xfId="14196"/>
    <cellStyle name="Percent 3 3 2 2 5 2" xfId="14197"/>
    <cellStyle name="Percent 3 3 2 2 6" xfId="14198"/>
    <cellStyle name="Percent 3 3 2 3" xfId="14199"/>
    <cellStyle name="Percent 3 3 2 3 2" xfId="14200"/>
    <cellStyle name="Percent 3 3 2 3 2 2" xfId="14201"/>
    <cellStyle name="Percent 3 3 2 3 2 2 2" xfId="14202"/>
    <cellStyle name="Percent 3 3 2 3 2 3" xfId="14203"/>
    <cellStyle name="Percent 3 3 2 3 3" xfId="14204"/>
    <cellStyle name="Percent 3 3 2 3 3 2" xfId="14205"/>
    <cellStyle name="Percent 3 3 2 3 3 2 2" xfId="14206"/>
    <cellStyle name="Percent 3 3 2 3 3 3" xfId="14207"/>
    <cellStyle name="Percent 3 3 2 3 4" xfId="14208"/>
    <cellStyle name="Percent 3 3 2 3 4 2" xfId="14209"/>
    <cellStyle name="Percent 3 3 2 3 5" xfId="14210"/>
    <cellStyle name="Percent 3 3 2 4" xfId="14211"/>
    <cellStyle name="Percent 3 3 2 4 2" xfId="14212"/>
    <cellStyle name="Percent 3 3 2 4 2 2" xfId="14213"/>
    <cellStyle name="Percent 3 3 2 4 3" xfId="14214"/>
    <cellStyle name="Percent 3 3 2 5" xfId="14215"/>
    <cellStyle name="Percent 3 3 2 5 2" xfId="14216"/>
    <cellStyle name="Percent 3 3 2 5 2 2" xfId="14217"/>
    <cellStyle name="Percent 3 3 2 5 3" xfId="14218"/>
    <cellStyle name="Percent 3 3 2 6" xfId="14219"/>
    <cellStyle name="Percent 3 3 2 6 2" xfId="14220"/>
    <cellStyle name="Percent 3 3 2 7" xfId="14221"/>
    <cellStyle name="Percent 3 3 3" xfId="14222"/>
    <cellStyle name="Percent 3 3 3 2" xfId="14223"/>
    <cellStyle name="Percent 3 3 3 2 2" xfId="14224"/>
    <cellStyle name="Percent 3 3 3 2 2 2" xfId="14225"/>
    <cellStyle name="Percent 3 3 3 2 2 2 2" xfId="14226"/>
    <cellStyle name="Percent 3 3 3 2 2 3" xfId="14227"/>
    <cellStyle name="Percent 3 3 3 2 3" xfId="14228"/>
    <cellStyle name="Percent 3 3 3 2 3 2" xfId="14229"/>
    <cellStyle name="Percent 3 3 3 2 3 2 2" xfId="14230"/>
    <cellStyle name="Percent 3 3 3 2 3 3" xfId="14231"/>
    <cellStyle name="Percent 3 3 3 2 4" xfId="14232"/>
    <cellStyle name="Percent 3 3 3 2 4 2" xfId="14233"/>
    <cellStyle name="Percent 3 3 3 2 5" xfId="14234"/>
    <cellStyle name="Percent 3 3 3 3" xfId="14235"/>
    <cellStyle name="Percent 3 3 3 3 2" xfId="14236"/>
    <cellStyle name="Percent 3 3 3 3 2 2" xfId="14237"/>
    <cellStyle name="Percent 3 3 3 3 3" xfId="14238"/>
    <cellStyle name="Percent 3 3 3 4" xfId="14239"/>
    <cellStyle name="Percent 3 3 3 4 2" xfId="14240"/>
    <cellStyle name="Percent 3 3 3 4 2 2" xfId="14241"/>
    <cellStyle name="Percent 3 3 3 4 3" xfId="14242"/>
    <cellStyle name="Percent 3 3 3 5" xfId="14243"/>
    <cellStyle name="Percent 3 3 3 5 2" xfId="14244"/>
    <cellStyle name="Percent 3 3 3 6" xfId="14245"/>
    <cellStyle name="Percent 3 3 4" xfId="14246"/>
    <cellStyle name="Percent 3 3 4 2" xfId="14247"/>
    <cellStyle name="Percent 3 3 4 2 2" xfId="14248"/>
    <cellStyle name="Percent 3 3 4 2 2 2" xfId="14249"/>
    <cellStyle name="Percent 3 3 4 2 3" xfId="14250"/>
    <cellStyle name="Percent 3 3 4 3" xfId="14251"/>
    <cellStyle name="Percent 3 3 4 3 2" xfId="14252"/>
    <cellStyle name="Percent 3 3 4 3 2 2" xfId="14253"/>
    <cellStyle name="Percent 3 3 4 3 3" xfId="14254"/>
    <cellStyle name="Percent 3 3 4 4" xfId="14255"/>
    <cellStyle name="Percent 3 3 4 4 2" xfId="14256"/>
    <cellStyle name="Percent 3 3 4 5" xfId="14257"/>
    <cellStyle name="Percent 3 3 5" xfId="14258"/>
    <cellStyle name="Percent 3 3 5 2" xfId="14259"/>
    <cellStyle name="Percent 3 3 5 2 2" xfId="14260"/>
    <cellStyle name="Percent 3 3 5 3" xfId="14261"/>
    <cellStyle name="Percent 3 3 6" xfId="14262"/>
    <cellStyle name="Percent 3 3 6 2" xfId="14263"/>
    <cellStyle name="Percent 3 3 6 2 2" xfId="14264"/>
    <cellStyle name="Percent 3 3 6 3" xfId="14265"/>
    <cellStyle name="Percent 3 3 7" xfId="14266"/>
    <cellStyle name="Percent 3 3 7 2" xfId="14267"/>
    <cellStyle name="Percent 3 3 8" xfId="14268"/>
    <cellStyle name="Percent 3 3 9" xfId="14269"/>
    <cellStyle name="Percent 3 4" xfId="14270"/>
    <cellStyle name="Percent 3 4 2" xfId="14271"/>
    <cellStyle name="Percent 3 4 2 2" xfId="14272"/>
    <cellStyle name="Percent 3 4 2 2 2" xfId="14273"/>
    <cellStyle name="Percent 3 4 2 2 2 2" xfId="14274"/>
    <cellStyle name="Percent 3 4 2 2 2 2 2" xfId="14275"/>
    <cellStyle name="Percent 3 4 2 2 2 2 2 2" xfId="14276"/>
    <cellStyle name="Percent 3 4 2 2 2 2 3" xfId="14277"/>
    <cellStyle name="Percent 3 4 2 2 2 3" xfId="14278"/>
    <cellStyle name="Percent 3 4 2 2 2 3 2" xfId="14279"/>
    <cellStyle name="Percent 3 4 2 2 2 3 2 2" xfId="14280"/>
    <cellStyle name="Percent 3 4 2 2 2 3 3" xfId="14281"/>
    <cellStyle name="Percent 3 4 2 2 2 4" xfId="14282"/>
    <cellStyle name="Percent 3 4 2 2 2 4 2" xfId="14283"/>
    <cellStyle name="Percent 3 4 2 2 2 5" xfId="14284"/>
    <cellStyle name="Percent 3 4 2 2 3" xfId="14285"/>
    <cellStyle name="Percent 3 4 2 2 3 2" xfId="14286"/>
    <cellStyle name="Percent 3 4 2 2 3 2 2" xfId="14287"/>
    <cellStyle name="Percent 3 4 2 2 3 3" xfId="14288"/>
    <cellStyle name="Percent 3 4 2 2 4" xfId="14289"/>
    <cellStyle name="Percent 3 4 2 2 4 2" xfId="14290"/>
    <cellStyle name="Percent 3 4 2 2 4 2 2" xfId="14291"/>
    <cellStyle name="Percent 3 4 2 2 4 3" xfId="14292"/>
    <cellStyle name="Percent 3 4 2 2 5" xfId="14293"/>
    <cellStyle name="Percent 3 4 2 2 5 2" xfId="14294"/>
    <cellStyle name="Percent 3 4 2 2 6" xfId="14295"/>
    <cellStyle name="Percent 3 4 2 3" xfId="14296"/>
    <cellStyle name="Percent 3 4 2 3 2" xfId="14297"/>
    <cellStyle name="Percent 3 4 2 3 2 2" xfId="14298"/>
    <cellStyle name="Percent 3 4 2 3 2 2 2" xfId="14299"/>
    <cellStyle name="Percent 3 4 2 3 2 3" xfId="14300"/>
    <cellStyle name="Percent 3 4 2 3 3" xfId="14301"/>
    <cellStyle name="Percent 3 4 2 3 3 2" xfId="14302"/>
    <cellStyle name="Percent 3 4 2 3 3 2 2" xfId="14303"/>
    <cellStyle name="Percent 3 4 2 3 3 3" xfId="14304"/>
    <cellStyle name="Percent 3 4 2 3 4" xfId="14305"/>
    <cellStyle name="Percent 3 4 2 3 4 2" xfId="14306"/>
    <cellStyle name="Percent 3 4 2 3 5" xfId="14307"/>
    <cellStyle name="Percent 3 4 2 4" xfId="14308"/>
    <cellStyle name="Percent 3 4 2 4 2" xfId="14309"/>
    <cellStyle name="Percent 3 4 2 4 2 2" xfId="14310"/>
    <cellStyle name="Percent 3 4 2 4 3" xfId="14311"/>
    <cellStyle name="Percent 3 4 2 5" xfId="14312"/>
    <cellStyle name="Percent 3 4 2 5 2" xfId="14313"/>
    <cellStyle name="Percent 3 4 2 5 2 2" xfId="14314"/>
    <cellStyle name="Percent 3 4 2 5 3" xfId="14315"/>
    <cellStyle name="Percent 3 4 2 6" xfId="14316"/>
    <cellStyle name="Percent 3 4 2 6 2" xfId="14317"/>
    <cellStyle name="Percent 3 4 2 7" xfId="14318"/>
    <cellStyle name="Percent 3 4 3" xfId="14319"/>
    <cellStyle name="Percent 3 4 3 2" xfId="14320"/>
    <cellStyle name="Percent 3 4 3 2 2" xfId="14321"/>
    <cellStyle name="Percent 3 4 3 2 2 2" xfId="14322"/>
    <cellStyle name="Percent 3 4 3 2 2 2 2" xfId="14323"/>
    <cellStyle name="Percent 3 4 3 2 2 3" xfId="14324"/>
    <cellStyle name="Percent 3 4 3 2 3" xfId="14325"/>
    <cellStyle name="Percent 3 4 3 2 3 2" xfId="14326"/>
    <cellStyle name="Percent 3 4 3 2 3 2 2" xfId="14327"/>
    <cellStyle name="Percent 3 4 3 2 3 3" xfId="14328"/>
    <cellStyle name="Percent 3 4 3 2 4" xfId="14329"/>
    <cellStyle name="Percent 3 4 3 2 4 2" xfId="14330"/>
    <cellStyle name="Percent 3 4 3 2 5" xfId="14331"/>
    <cellStyle name="Percent 3 4 3 3" xfId="14332"/>
    <cellStyle name="Percent 3 4 3 3 2" xfId="14333"/>
    <cellStyle name="Percent 3 4 3 3 2 2" xfId="14334"/>
    <cellStyle name="Percent 3 4 3 3 3" xfId="14335"/>
    <cellStyle name="Percent 3 4 3 4" xfId="14336"/>
    <cellStyle name="Percent 3 4 3 4 2" xfId="14337"/>
    <cellStyle name="Percent 3 4 3 4 2 2" xfId="14338"/>
    <cellStyle name="Percent 3 4 3 4 3" xfId="14339"/>
    <cellStyle name="Percent 3 4 3 5" xfId="14340"/>
    <cellStyle name="Percent 3 4 3 5 2" xfId="14341"/>
    <cellStyle name="Percent 3 4 3 6" xfId="14342"/>
    <cellStyle name="Percent 3 4 4" xfId="14343"/>
    <cellStyle name="Percent 3 4 4 2" xfId="14344"/>
    <cellStyle name="Percent 3 4 4 2 2" xfId="14345"/>
    <cellStyle name="Percent 3 4 4 2 2 2" xfId="14346"/>
    <cellStyle name="Percent 3 4 4 2 3" xfId="14347"/>
    <cellStyle name="Percent 3 4 4 3" xfId="14348"/>
    <cellStyle name="Percent 3 4 4 3 2" xfId="14349"/>
    <cellStyle name="Percent 3 4 4 3 2 2" xfId="14350"/>
    <cellStyle name="Percent 3 4 4 3 3" xfId="14351"/>
    <cellStyle name="Percent 3 4 4 4" xfId="14352"/>
    <cellStyle name="Percent 3 4 4 4 2" xfId="14353"/>
    <cellStyle name="Percent 3 4 4 5" xfId="14354"/>
    <cellStyle name="Percent 3 4 5" xfId="14355"/>
    <cellStyle name="Percent 3 4 5 2" xfId="14356"/>
    <cellStyle name="Percent 3 4 5 2 2" xfId="14357"/>
    <cellStyle name="Percent 3 4 5 3" xfId="14358"/>
    <cellStyle name="Percent 3 4 6" xfId="14359"/>
    <cellStyle name="Percent 3 4 6 2" xfId="14360"/>
    <cellStyle name="Percent 3 4 6 2 2" xfId="14361"/>
    <cellStyle name="Percent 3 4 6 3" xfId="14362"/>
    <cellStyle name="Percent 3 4 7" xfId="14363"/>
    <cellStyle name="Percent 3 4 7 2" xfId="14364"/>
    <cellStyle name="Percent 3 4 8" xfId="14365"/>
    <cellStyle name="Percent 3 5" xfId="14366"/>
    <cellStyle name="Percent 3 5 2" xfId="14367"/>
    <cellStyle name="Percent 3 5 2 2" xfId="14368"/>
    <cellStyle name="Percent 3 5 3" xfId="14369"/>
    <cellStyle name="Percent 3 6" xfId="14370"/>
    <cellStyle name="Percent 3 6 2" xfId="14371"/>
    <cellStyle name="Percent 3 6 2 2" xfId="14372"/>
    <cellStyle name="Percent 3 6 2 2 2" xfId="14373"/>
    <cellStyle name="Percent 3 6 2 2 2 2" xfId="14374"/>
    <cellStyle name="Percent 3 6 2 2 3" xfId="14375"/>
    <cellStyle name="Percent 3 6 2 3" xfId="14376"/>
    <cellStyle name="Percent 3 6 2 3 2" xfId="14377"/>
    <cellStyle name="Percent 3 6 2 3 2 2" xfId="14378"/>
    <cellStyle name="Percent 3 6 2 3 3" xfId="14379"/>
    <cellStyle name="Percent 3 6 2 4" xfId="14380"/>
    <cellStyle name="Percent 3 6 2 4 2" xfId="14381"/>
    <cellStyle name="Percent 3 6 2 5" xfId="14382"/>
    <cellStyle name="Percent 3 6 3" xfId="14383"/>
    <cellStyle name="Percent 3 6 3 2" xfId="14384"/>
    <cellStyle name="Percent 3 6 3 2 2" xfId="14385"/>
    <cellStyle name="Percent 3 6 3 3" xfId="14386"/>
    <cellStyle name="Percent 3 6 4" xfId="14387"/>
    <cellStyle name="Percent 3 6 4 2" xfId="14388"/>
    <cellStyle name="Percent 3 6 4 2 2" xfId="14389"/>
    <cellStyle name="Percent 3 6 4 3" xfId="14390"/>
    <cellStyle name="Percent 3 6 5" xfId="14391"/>
    <cellStyle name="Percent 3 6 5 2" xfId="14392"/>
    <cellStyle name="Percent 3 6 6" xfId="14393"/>
    <cellStyle name="Percent 3 7" xfId="14394"/>
    <cellStyle name="Percent 3 7 2" xfId="14395"/>
    <cellStyle name="Percent 3 7 2 2" xfId="14396"/>
    <cellStyle name="Percent 3 7 2 2 2" xfId="14397"/>
    <cellStyle name="Percent 3 7 2 3" xfId="14398"/>
    <cellStyle name="Percent 3 7 3" xfId="14399"/>
    <cellStyle name="Percent 3 7 3 2" xfId="14400"/>
    <cellStyle name="Percent 3 7 3 2 2" xfId="14401"/>
    <cellStyle name="Percent 3 7 3 3" xfId="14402"/>
    <cellStyle name="Percent 3 7 4" xfId="14403"/>
    <cellStyle name="Percent 3 7 4 2" xfId="14404"/>
    <cellStyle name="Percent 3 7 5" xfId="14405"/>
    <cellStyle name="Percent 3 8" xfId="14406"/>
    <cellStyle name="Percent 3 8 2" xfId="14407"/>
    <cellStyle name="Percent 3 8 2 2" xfId="14408"/>
    <cellStyle name="Percent 3 8 3" xfId="14409"/>
    <cellStyle name="Percent 3 9" xfId="14410"/>
    <cellStyle name="Percent 3 9 2" xfId="14411"/>
    <cellStyle name="Percent 3 9 2 2" xfId="14412"/>
    <cellStyle name="Percent 3 9 3" xfId="14413"/>
    <cellStyle name="Percent 4" xfId="14414"/>
    <cellStyle name="Percent 4 2" xfId="14415"/>
    <cellStyle name="Percent 4 2 2" xfId="14416"/>
    <cellStyle name="Percent 4 2 2 2" xfId="14417"/>
    <cellStyle name="Percent 4 2 3" xfId="14418"/>
    <cellStyle name="Percent 4 2 4" xfId="14419"/>
    <cellStyle name="Percent 4 3" xfId="14420"/>
    <cellStyle name="Percent 4 3 2" xfId="14421"/>
    <cellStyle name="Percent 4 3 2 2" xfId="14422"/>
    <cellStyle name="Percent 4 3 3" xfId="14423"/>
    <cellStyle name="Percent 4 3 4" xfId="14424"/>
    <cellStyle name="Percent 4 4" xfId="14425"/>
    <cellStyle name="Percent 4 4 2" xfId="14426"/>
    <cellStyle name="Percent 4 4 2 2" xfId="14427"/>
    <cellStyle name="Percent 4 4 2 2 2" xfId="14428"/>
    <cellStyle name="Percent 4 4 2 3" xfId="14429"/>
    <cellStyle name="Percent 4 4 3" xfId="14430"/>
    <cellStyle name="Percent 4 4 3 2" xfId="14431"/>
    <cellStyle name="Percent 4 4 4" xfId="14432"/>
    <cellStyle name="Percent 4 4 5" xfId="14433"/>
    <cellStyle name="Percent 4 5" xfId="14434"/>
    <cellStyle name="Percent 4 5 2" xfId="14435"/>
    <cellStyle name="Percent 4 6" xfId="14436"/>
    <cellStyle name="Percent 4 7" xfId="14437"/>
    <cellStyle name="Percent 4 8" xfId="14438"/>
    <cellStyle name="Percent 5" xfId="14439"/>
    <cellStyle name="Percent 5 10" xfId="14440"/>
    <cellStyle name="Percent 5 11" xfId="14441"/>
    <cellStyle name="Percent 5 2" xfId="14442"/>
    <cellStyle name="Percent 5 2 2" xfId="14443"/>
    <cellStyle name="Percent 5 2 2 2" xfId="14444"/>
    <cellStyle name="Percent 5 2 2 2 2" xfId="14445"/>
    <cellStyle name="Percent 5 2 2 2 2 2" xfId="14446"/>
    <cellStyle name="Percent 5 2 2 2 2 2 2" xfId="14447"/>
    <cellStyle name="Percent 5 2 2 2 2 2 2 2" xfId="14448"/>
    <cellStyle name="Percent 5 2 2 2 2 2 3" xfId="14449"/>
    <cellStyle name="Percent 5 2 2 2 2 3" xfId="14450"/>
    <cellStyle name="Percent 5 2 2 2 2 3 2" xfId="14451"/>
    <cellStyle name="Percent 5 2 2 2 2 3 2 2" xfId="14452"/>
    <cellStyle name="Percent 5 2 2 2 2 3 3" xfId="14453"/>
    <cellStyle name="Percent 5 2 2 2 2 4" xfId="14454"/>
    <cellStyle name="Percent 5 2 2 2 2 4 2" xfId="14455"/>
    <cellStyle name="Percent 5 2 2 2 2 5" xfId="14456"/>
    <cellStyle name="Percent 5 2 2 2 3" xfId="14457"/>
    <cellStyle name="Percent 5 2 2 2 3 2" xfId="14458"/>
    <cellStyle name="Percent 5 2 2 2 3 2 2" xfId="14459"/>
    <cellStyle name="Percent 5 2 2 2 3 3" xfId="14460"/>
    <cellStyle name="Percent 5 2 2 2 4" xfId="14461"/>
    <cellStyle name="Percent 5 2 2 2 4 2" xfId="14462"/>
    <cellStyle name="Percent 5 2 2 2 4 2 2" xfId="14463"/>
    <cellStyle name="Percent 5 2 2 2 4 3" xfId="14464"/>
    <cellStyle name="Percent 5 2 2 2 5" xfId="14465"/>
    <cellStyle name="Percent 5 2 2 2 5 2" xfId="14466"/>
    <cellStyle name="Percent 5 2 2 2 6" xfId="14467"/>
    <cellStyle name="Percent 5 2 2 3" xfId="14468"/>
    <cellStyle name="Percent 5 2 2 3 2" xfId="14469"/>
    <cellStyle name="Percent 5 2 2 3 2 2" xfId="14470"/>
    <cellStyle name="Percent 5 2 2 3 2 2 2" xfId="14471"/>
    <cellStyle name="Percent 5 2 2 3 2 3" xfId="14472"/>
    <cellStyle name="Percent 5 2 2 3 3" xfId="14473"/>
    <cellStyle name="Percent 5 2 2 3 3 2" xfId="14474"/>
    <cellStyle name="Percent 5 2 2 3 3 2 2" xfId="14475"/>
    <cellStyle name="Percent 5 2 2 3 3 3" xfId="14476"/>
    <cellStyle name="Percent 5 2 2 3 4" xfId="14477"/>
    <cellStyle name="Percent 5 2 2 3 4 2" xfId="14478"/>
    <cellStyle name="Percent 5 2 2 3 5" xfId="14479"/>
    <cellStyle name="Percent 5 2 2 4" xfId="14480"/>
    <cellStyle name="Percent 5 2 2 4 2" xfId="14481"/>
    <cellStyle name="Percent 5 2 2 4 2 2" xfId="14482"/>
    <cellStyle name="Percent 5 2 2 4 3" xfId="14483"/>
    <cellStyle name="Percent 5 2 2 5" xfId="14484"/>
    <cellStyle name="Percent 5 2 2 5 2" xfId="14485"/>
    <cellStyle name="Percent 5 2 2 5 2 2" xfId="14486"/>
    <cellStyle name="Percent 5 2 2 5 3" xfId="14487"/>
    <cellStyle name="Percent 5 2 2 6" xfId="14488"/>
    <cellStyle name="Percent 5 2 2 6 2" xfId="14489"/>
    <cellStyle name="Percent 5 2 2 7" xfId="14490"/>
    <cellStyle name="Percent 5 2 3" xfId="14491"/>
    <cellStyle name="Percent 5 2 3 2" xfId="14492"/>
    <cellStyle name="Percent 5 2 3 2 2" xfId="14493"/>
    <cellStyle name="Percent 5 2 3 2 2 2" xfId="14494"/>
    <cellStyle name="Percent 5 2 3 2 2 2 2" xfId="14495"/>
    <cellStyle name="Percent 5 2 3 2 2 3" xfId="14496"/>
    <cellStyle name="Percent 5 2 3 2 3" xfId="14497"/>
    <cellStyle name="Percent 5 2 3 2 3 2" xfId="14498"/>
    <cellStyle name="Percent 5 2 3 2 3 2 2" xfId="14499"/>
    <cellStyle name="Percent 5 2 3 2 3 3" xfId="14500"/>
    <cellStyle name="Percent 5 2 3 2 4" xfId="14501"/>
    <cellStyle name="Percent 5 2 3 2 4 2" xfId="14502"/>
    <cellStyle name="Percent 5 2 3 2 5" xfId="14503"/>
    <cellStyle name="Percent 5 2 3 3" xfId="14504"/>
    <cellStyle name="Percent 5 2 3 3 2" xfId="14505"/>
    <cellStyle name="Percent 5 2 3 3 2 2" xfId="14506"/>
    <cellStyle name="Percent 5 2 3 3 3" xfId="14507"/>
    <cellStyle name="Percent 5 2 3 4" xfId="14508"/>
    <cellStyle name="Percent 5 2 3 4 2" xfId="14509"/>
    <cellStyle name="Percent 5 2 3 4 2 2" xfId="14510"/>
    <cellStyle name="Percent 5 2 3 4 3" xfId="14511"/>
    <cellStyle name="Percent 5 2 3 5" xfId="14512"/>
    <cellStyle name="Percent 5 2 3 5 2" xfId="14513"/>
    <cellStyle name="Percent 5 2 3 6" xfId="14514"/>
    <cellStyle name="Percent 5 2 4" xfId="14515"/>
    <cellStyle name="Percent 5 2 4 2" xfId="14516"/>
    <cellStyle name="Percent 5 2 4 2 2" xfId="14517"/>
    <cellStyle name="Percent 5 2 4 2 2 2" xfId="14518"/>
    <cellStyle name="Percent 5 2 4 2 3" xfId="14519"/>
    <cellStyle name="Percent 5 2 4 3" xfId="14520"/>
    <cellStyle name="Percent 5 2 4 3 2" xfId="14521"/>
    <cellStyle name="Percent 5 2 4 3 2 2" xfId="14522"/>
    <cellStyle name="Percent 5 2 4 3 3" xfId="14523"/>
    <cellStyle name="Percent 5 2 4 4" xfId="14524"/>
    <cellStyle name="Percent 5 2 4 4 2" xfId="14525"/>
    <cellStyle name="Percent 5 2 4 5" xfId="14526"/>
    <cellStyle name="Percent 5 2 5" xfId="14527"/>
    <cellStyle name="Percent 5 2 5 2" xfId="14528"/>
    <cellStyle name="Percent 5 2 5 2 2" xfId="14529"/>
    <cellStyle name="Percent 5 2 5 3" xfId="14530"/>
    <cellStyle name="Percent 5 2 6" xfId="14531"/>
    <cellStyle name="Percent 5 2 6 2" xfId="14532"/>
    <cellStyle name="Percent 5 2 6 2 2" xfId="14533"/>
    <cellStyle name="Percent 5 2 6 3" xfId="14534"/>
    <cellStyle name="Percent 5 2 7" xfId="14535"/>
    <cellStyle name="Percent 5 2 7 2" xfId="14536"/>
    <cellStyle name="Percent 5 2 8" xfId="14537"/>
    <cellStyle name="Percent 5 2 9" xfId="14538"/>
    <cellStyle name="Percent 5 3" xfId="14539"/>
    <cellStyle name="Percent 5 3 2" xfId="14540"/>
    <cellStyle name="Percent 5 3 2 2" xfId="14541"/>
    <cellStyle name="Percent 5 3 2 2 2" xfId="14542"/>
    <cellStyle name="Percent 5 3 2 2 2 2" xfId="14543"/>
    <cellStyle name="Percent 5 3 2 2 2 2 2" xfId="14544"/>
    <cellStyle name="Percent 5 3 2 2 2 3" xfId="14545"/>
    <cellStyle name="Percent 5 3 2 2 3" xfId="14546"/>
    <cellStyle name="Percent 5 3 2 2 3 2" xfId="14547"/>
    <cellStyle name="Percent 5 3 2 2 3 2 2" xfId="14548"/>
    <cellStyle name="Percent 5 3 2 2 3 3" xfId="14549"/>
    <cellStyle name="Percent 5 3 2 2 4" xfId="14550"/>
    <cellStyle name="Percent 5 3 2 2 4 2" xfId="14551"/>
    <cellStyle name="Percent 5 3 2 2 5" xfId="14552"/>
    <cellStyle name="Percent 5 3 2 3" xfId="14553"/>
    <cellStyle name="Percent 5 3 2 3 2" xfId="14554"/>
    <cellStyle name="Percent 5 3 2 3 2 2" xfId="14555"/>
    <cellStyle name="Percent 5 3 2 3 3" xfId="14556"/>
    <cellStyle name="Percent 5 3 2 4" xfId="14557"/>
    <cellStyle name="Percent 5 3 2 4 2" xfId="14558"/>
    <cellStyle name="Percent 5 3 2 4 2 2" xfId="14559"/>
    <cellStyle name="Percent 5 3 2 4 3" xfId="14560"/>
    <cellStyle name="Percent 5 3 2 5" xfId="14561"/>
    <cellStyle name="Percent 5 3 2 5 2" xfId="14562"/>
    <cellStyle name="Percent 5 3 2 6" xfId="14563"/>
    <cellStyle name="Percent 5 3 3" xfId="14564"/>
    <cellStyle name="Percent 5 3 3 2" xfId="14565"/>
    <cellStyle name="Percent 5 3 3 2 2" xfId="14566"/>
    <cellStyle name="Percent 5 3 3 2 2 2" xfId="14567"/>
    <cellStyle name="Percent 5 3 3 2 3" xfId="14568"/>
    <cellStyle name="Percent 5 3 3 3" xfId="14569"/>
    <cellStyle name="Percent 5 3 3 3 2" xfId="14570"/>
    <cellStyle name="Percent 5 3 3 3 2 2" xfId="14571"/>
    <cellStyle name="Percent 5 3 3 3 3" xfId="14572"/>
    <cellStyle name="Percent 5 3 3 4" xfId="14573"/>
    <cellStyle name="Percent 5 3 3 4 2" xfId="14574"/>
    <cellStyle name="Percent 5 3 3 5" xfId="14575"/>
    <cellStyle name="Percent 5 3 4" xfId="14576"/>
    <cellStyle name="Percent 5 3 4 2" xfId="14577"/>
    <cellStyle name="Percent 5 3 4 2 2" xfId="14578"/>
    <cellStyle name="Percent 5 3 4 3" xfId="14579"/>
    <cellStyle name="Percent 5 3 5" xfId="14580"/>
    <cellStyle name="Percent 5 3 5 2" xfId="14581"/>
    <cellStyle name="Percent 5 3 5 2 2" xfId="14582"/>
    <cellStyle name="Percent 5 3 5 3" xfId="14583"/>
    <cellStyle name="Percent 5 3 6" xfId="14584"/>
    <cellStyle name="Percent 5 3 6 2" xfId="14585"/>
    <cellStyle name="Percent 5 3 7" xfId="14586"/>
    <cellStyle name="Percent 5 4" xfId="14587"/>
    <cellStyle name="Percent 5 4 2" xfId="14588"/>
    <cellStyle name="Percent 5 4 2 2" xfId="14589"/>
    <cellStyle name="Percent 5 4 2 2 2" xfId="14590"/>
    <cellStyle name="Percent 5 4 2 2 2 2" xfId="14591"/>
    <cellStyle name="Percent 5 4 2 2 3" xfId="14592"/>
    <cellStyle name="Percent 5 4 2 3" xfId="14593"/>
    <cellStyle name="Percent 5 4 2 3 2" xfId="14594"/>
    <cellStyle name="Percent 5 4 2 3 2 2" xfId="14595"/>
    <cellStyle name="Percent 5 4 2 3 3" xfId="14596"/>
    <cellStyle name="Percent 5 4 2 4" xfId="14597"/>
    <cellStyle name="Percent 5 4 2 4 2" xfId="14598"/>
    <cellStyle name="Percent 5 4 2 5" xfId="14599"/>
    <cellStyle name="Percent 5 4 3" xfId="14600"/>
    <cellStyle name="Percent 5 4 3 2" xfId="14601"/>
    <cellStyle name="Percent 5 4 3 2 2" xfId="14602"/>
    <cellStyle name="Percent 5 4 3 3" xfId="14603"/>
    <cellStyle name="Percent 5 4 4" xfId="14604"/>
    <cellStyle name="Percent 5 4 4 2" xfId="14605"/>
    <cellStyle name="Percent 5 4 4 2 2" xfId="14606"/>
    <cellStyle name="Percent 5 4 4 3" xfId="14607"/>
    <cellStyle name="Percent 5 4 5" xfId="14608"/>
    <cellStyle name="Percent 5 4 5 2" xfId="14609"/>
    <cellStyle name="Percent 5 4 6" xfId="14610"/>
    <cellStyle name="Percent 5 5" xfId="14611"/>
    <cellStyle name="Percent 5 5 2" xfId="14612"/>
    <cellStyle name="Percent 5 5 2 2" xfId="14613"/>
    <cellStyle name="Percent 5 5 2 2 2" xfId="14614"/>
    <cellStyle name="Percent 5 5 2 3" xfId="14615"/>
    <cellStyle name="Percent 5 5 3" xfId="14616"/>
    <cellStyle name="Percent 5 5 3 2" xfId="14617"/>
    <cellStyle name="Percent 5 5 3 2 2" xfId="14618"/>
    <cellStyle name="Percent 5 5 3 3" xfId="14619"/>
    <cellStyle name="Percent 5 5 4" xfId="14620"/>
    <cellStyle name="Percent 5 5 4 2" xfId="14621"/>
    <cellStyle name="Percent 5 5 5" xfId="14622"/>
    <cellStyle name="Percent 5 6" xfId="14623"/>
    <cellStyle name="Percent 5 6 2" xfId="14624"/>
    <cellStyle name="Percent 5 6 2 2" xfId="14625"/>
    <cellStyle name="Percent 5 6 3" xfId="14626"/>
    <cellStyle name="Percent 5 7" xfId="14627"/>
    <cellStyle name="Percent 5 7 2" xfId="14628"/>
    <cellStyle name="Percent 5 7 2 2" xfId="14629"/>
    <cellStyle name="Percent 5 7 3" xfId="14630"/>
    <cellStyle name="Percent 5 8" xfId="14631"/>
    <cellStyle name="Percent 5 8 2" xfId="14632"/>
    <cellStyle name="Percent 5 9" xfId="14633"/>
    <cellStyle name="Percent 6" xfId="14634"/>
    <cellStyle name="Percent 6 2" xfId="14635"/>
    <cellStyle name="Percent 6 2 2" xfId="14636"/>
    <cellStyle name="Percent 6 2 2 2" xfId="14637"/>
    <cellStyle name="Percent 6 2 2 2 2" xfId="14638"/>
    <cellStyle name="Percent 6 2 2 2 2 2" xfId="14639"/>
    <cellStyle name="Percent 6 2 2 2 2 2 2" xfId="14640"/>
    <cellStyle name="Percent 6 2 2 2 2 3" xfId="14641"/>
    <cellStyle name="Percent 6 2 2 2 3" xfId="14642"/>
    <cellStyle name="Percent 6 2 2 2 3 2" xfId="14643"/>
    <cellStyle name="Percent 6 2 2 2 3 2 2" xfId="14644"/>
    <cellStyle name="Percent 6 2 2 2 3 3" xfId="14645"/>
    <cellStyle name="Percent 6 2 2 2 4" xfId="14646"/>
    <cellStyle name="Percent 6 2 2 2 4 2" xfId="14647"/>
    <cellStyle name="Percent 6 2 2 2 5" xfId="14648"/>
    <cellStyle name="Percent 6 2 2 3" xfId="14649"/>
    <cellStyle name="Percent 6 2 2 3 2" xfId="14650"/>
    <cellStyle name="Percent 6 2 2 3 2 2" xfId="14651"/>
    <cellStyle name="Percent 6 2 2 3 3" xfId="14652"/>
    <cellStyle name="Percent 6 2 2 4" xfId="14653"/>
    <cellStyle name="Percent 6 2 2 4 2" xfId="14654"/>
    <cellStyle name="Percent 6 2 2 4 2 2" xfId="14655"/>
    <cellStyle name="Percent 6 2 2 4 3" xfId="14656"/>
    <cellStyle name="Percent 6 2 2 5" xfId="14657"/>
    <cellStyle name="Percent 6 2 2 5 2" xfId="14658"/>
    <cellStyle name="Percent 6 2 2 6" xfId="14659"/>
    <cellStyle name="Percent 6 2 3" xfId="14660"/>
    <cellStyle name="Percent 6 2 3 2" xfId="14661"/>
    <cellStyle name="Percent 6 2 3 2 2" xfId="14662"/>
    <cellStyle name="Percent 6 2 3 2 2 2" xfId="14663"/>
    <cellStyle name="Percent 6 2 3 2 3" xfId="14664"/>
    <cellStyle name="Percent 6 2 3 3" xfId="14665"/>
    <cellStyle name="Percent 6 2 3 3 2" xfId="14666"/>
    <cellStyle name="Percent 6 2 3 3 2 2" xfId="14667"/>
    <cellStyle name="Percent 6 2 3 3 3" xfId="14668"/>
    <cellStyle name="Percent 6 2 3 4" xfId="14669"/>
    <cellStyle name="Percent 6 2 3 4 2" xfId="14670"/>
    <cellStyle name="Percent 6 2 3 5" xfId="14671"/>
    <cellStyle name="Percent 6 2 4" xfId="14672"/>
    <cellStyle name="Percent 6 2 4 2" xfId="14673"/>
    <cellStyle name="Percent 6 2 4 2 2" xfId="14674"/>
    <cellStyle name="Percent 6 2 4 3" xfId="14675"/>
    <cellStyle name="Percent 6 2 5" xfId="14676"/>
    <cellStyle name="Percent 6 2 5 2" xfId="14677"/>
    <cellStyle name="Percent 6 2 5 2 2" xfId="14678"/>
    <cellStyle name="Percent 6 2 5 3" xfId="14679"/>
    <cellStyle name="Percent 6 2 6" xfId="14680"/>
    <cellStyle name="Percent 6 2 6 2" xfId="14681"/>
    <cellStyle name="Percent 6 2 7" xfId="14682"/>
    <cellStyle name="Percent 6 2 8" xfId="14683"/>
    <cellStyle name="Percent 6 3" xfId="14684"/>
    <cellStyle name="Percent 6 3 2" xfId="14685"/>
    <cellStyle name="Percent 6 3 2 2" xfId="14686"/>
    <cellStyle name="Percent 6 3 2 2 2" xfId="14687"/>
    <cellStyle name="Percent 6 3 2 2 2 2" xfId="14688"/>
    <cellStyle name="Percent 6 3 2 2 3" xfId="14689"/>
    <cellStyle name="Percent 6 3 2 3" xfId="14690"/>
    <cellStyle name="Percent 6 3 2 3 2" xfId="14691"/>
    <cellStyle name="Percent 6 3 2 3 2 2" xfId="14692"/>
    <cellStyle name="Percent 6 3 2 3 3" xfId="14693"/>
    <cellStyle name="Percent 6 3 2 4" xfId="14694"/>
    <cellStyle name="Percent 6 3 2 4 2" xfId="14695"/>
    <cellStyle name="Percent 6 3 2 5" xfId="14696"/>
    <cellStyle name="Percent 6 3 3" xfId="14697"/>
    <cellStyle name="Percent 6 3 3 2" xfId="14698"/>
    <cellStyle name="Percent 6 3 3 2 2" xfId="14699"/>
    <cellStyle name="Percent 6 3 3 3" xfId="14700"/>
    <cellStyle name="Percent 6 3 4" xfId="14701"/>
    <cellStyle name="Percent 6 3 4 2" xfId="14702"/>
    <cellStyle name="Percent 6 3 4 2 2" xfId="14703"/>
    <cellStyle name="Percent 6 3 4 3" xfId="14704"/>
    <cellStyle name="Percent 6 3 5" xfId="14705"/>
    <cellStyle name="Percent 6 3 5 2" xfId="14706"/>
    <cellStyle name="Percent 6 3 6" xfId="14707"/>
    <cellStyle name="Percent 6 4" xfId="14708"/>
    <cellStyle name="Percent 6 4 2" xfId="14709"/>
    <cellStyle name="Percent 6 4 2 2" xfId="14710"/>
    <cellStyle name="Percent 6 4 2 2 2" xfId="14711"/>
    <cellStyle name="Percent 6 4 2 3" xfId="14712"/>
    <cellStyle name="Percent 6 4 3" xfId="14713"/>
    <cellStyle name="Percent 6 4 3 2" xfId="14714"/>
    <cellStyle name="Percent 6 4 3 2 2" xfId="14715"/>
    <cellStyle name="Percent 6 4 3 3" xfId="14716"/>
    <cellStyle name="Percent 6 4 4" xfId="14717"/>
    <cellStyle name="Percent 6 4 4 2" xfId="14718"/>
    <cellStyle name="Percent 6 4 5" xfId="14719"/>
    <cellStyle name="Percent 6 5" xfId="14720"/>
    <cellStyle name="Percent 6 5 2" xfId="14721"/>
    <cellStyle name="Percent 6 5 2 2" xfId="14722"/>
    <cellStyle name="Percent 6 5 3" xfId="14723"/>
    <cellStyle name="Percent 6 6" xfId="14724"/>
    <cellStyle name="Percent 6 6 2" xfId="14725"/>
    <cellStyle name="Percent 6 6 2 2" xfId="14726"/>
    <cellStyle name="Percent 6 6 3" xfId="14727"/>
    <cellStyle name="Percent 6 7" xfId="14728"/>
    <cellStyle name="Percent 6 7 2" xfId="14729"/>
    <cellStyle name="Percent 6 8" xfId="14730"/>
    <cellStyle name="Percent 6 9" xfId="14731"/>
    <cellStyle name="Percent 7" xfId="14732"/>
    <cellStyle name="Percent 7 2" xfId="14733"/>
    <cellStyle name="Percent 7 2 2" xfId="14734"/>
    <cellStyle name="Percent 7 2 2 2" xfId="14735"/>
    <cellStyle name="Percent 7 2 2 2 2" xfId="14736"/>
    <cellStyle name="Percent 7 2 2 2 2 2" xfId="14737"/>
    <cellStyle name="Percent 7 2 2 2 2 2 2" xfId="14738"/>
    <cellStyle name="Percent 7 2 2 2 2 3" xfId="14739"/>
    <cellStyle name="Percent 7 2 2 2 3" xfId="14740"/>
    <cellStyle name="Percent 7 2 2 2 3 2" xfId="14741"/>
    <cellStyle name="Percent 7 2 2 2 3 2 2" xfId="14742"/>
    <cellStyle name="Percent 7 2 2 2 3 3" xfId="14743"/>
    <cellStyle name="Percent 7 2 2 2 4" xfId="14744"/>
    <cellStyle name="Percent 7 2 2 2 4 2" xfId="14745"/>
    <cellStyle name="Percent 7 2 2 2 5" xfId="14746"/>
    <cellStyle name="Percent 7 2 2 3" xfId="14747"/>
    <cellStyle name="Percent 7 2 2 3 2" xfId="14748"/>
    <cellStyle name="Percent 7 2 2 3 2 2" xfId="14749"/>
    <cellStyle name="Percent 7 2 2 3 3" xfId="14750"/>
    <cellStyle name="Percent 7 2 2 4" xfId="14751"/>
    <cellStyle name="Percent 7 2 2 4 2" xfId="14752"/>
    <cellStyle name="Percent 7 2 2 4 2 2" xfId="14753"/>
    <cellStyle name="Percent 7 2 2 4 3" xfId="14754"/>
    <cellStyle name="Percent 7 2 2 5" xfId="14755"/>
    <cellStyle name="Percent 7 2 2 5 2" xfId="14756"/>
    <cellStyle name="Percent 7 2 2 6" xfId="14757"/>
    <cellStyle name="Percent 7 2 3" xfId="14758"/>
    <cellStyle name="Percent 7 2 3 2" xfId="14759"/>
    <cellStyle name="Percent 7 2 3 2 2" xfId="14760"/>
    <cellStyle name="Percent 7 2 3 2 2 2" xfId="14761"/>
    <cellStyle name="Percent 7 2 3 2 3" xfId="14762"/>
    <cellStyle name="Percent 7 2 3 3" xfId="14763"/>
    <cellStyle name="Percent 7 2 3 3 2" xfId="14764"/>
    <cellStyle name="Percent 7 2 3 3 2 2" xfId="14765"/>
    <cellStyle name="Percent 7 2 3 3 3" xfId="14766"/>
    <cellStyle name="Percent 7 2 3 4" xfId="14767"/>
    <cellStyle name="Percent 7 2 3 4 2" xfId="14768"/>
    <cellStyle name="Percent 7 2 3 5" xfId="14769"/>
    <cellStyle name="Percent 7 2 4" xfId="14770"/>
    <cellStyle name="Percent 7 2 4 2" xfId="14771"/>
    <cellStyle name="Percent 7 2 4 2 2" xfId="14772"/>
    <cellStyle name="Percent 7 2 4 3" xfId="14773"/>
    <cellStyle name="Percent 7 2 5" xfId="14774"/>
    <cellStyle name="Percent 7 2 5 2" xfId="14775"/>
    <cellStyle name="Percent 7 2 5 2 2" xfId="14776"/>
    <cellStyle name="Percent 7 2 5 3" xfId="14777"/>
    <cellStyle name="Percent 7 2 6" xfId="14778"/>
    <cellStyle name="Percent 7 2 6 2" xfId="14779"/>
    <cellStyle name="Percent 7 2 7" xfId="14780"/>
    <cellStyle name="Percent 7 2 8" xfId="14781"/>
    <cellStyle name="Percent 7 3" xfId="14782"/>
    <cellStyle name="Percent 7 3 2" xfId="14783"/>
    <cellStyle name="Percent 7 3 2 2" xfId="14784"/>
    <cellStyle name="Percent 7 3 2 2 2" xfId="14785"/>
    <cellStyle name="Percent 7 3 2 2 2 2" xfId="14786"/>
    <cellStyle name="Percent 7 3 2 2 3" xfId="14787"/>
    <cellStyle name="Percent 7 3 2 3" xfId="14788"/>
    <cellStyle name="Percent 7 3 2 3 2" xfId="14789"/>
    <cellStyle name="Percent 7 3 2 3 2 2" xfId="14790"/>
    <cellStyle name="Percent 7 3 2 3 3" xfId="14791"/>
    <cellStyle name="Percent 7 3 2 4" xfId="14792"/>
    <cellStyle name="Percent 7 3 2 4 2" xfId="14793"/>
    <cellStyle name="Percent 7 3 2 5" xfId="14794"/>
    <cellStyle name="Percent 7 3 3" xfId="14795"/>
    <cellStyle name="Percent 7 3 3 2" xfId="14796"/>
    <cellStyle name="Percent 7 3 3 2 2" xfId="14797"/>
    <cellStyle name="Percent 7 3 3 3" xfId="14798"/>
    <cellStyle name="Percent 7 3 4" xfId="14799"/>
    <cellStyle name="Percent 7 3 4 2" xfId="14800"/>
    <cellStyle name="Percent 7 3 4 2 2" xfId="14801"/>
    <cellStyle name="Percent 7 3 4 3" xfId="14802"/>
    <cellStyle name="Percent 7 3 5" xfId="14803"/>
    <cellStyle name="Percent 7 3 5 2" xfId="14804"/>
    <cellStyle name="Percent 7 3 6" xfId="14805"/>
    <cellStyle name="Percent 7 3 7" xfId="14806"/>
    <cellStyle name="Percent 7 4" xfId="14807"/>
    <cellStyle name="Percent 7 4 2" xfId="14808"/>
    <cellStyle name="Percent 7 4 2 2" xfId="14809"/>
    <cellStyle name="Percent 7 4 2 2 2" xfId="14810"/>
    <cellStyle name="Percent 7 4 2 3" xfId="14811"/>
    <cellStyle name="Percent 7 4 3" xfId="14812"/>
    <cellStyle name="Percent 7 4 3 2" xfId="14813"/>
    <cellStyle name="Percent 7 4 3 2 2" xfId="14814"/>
    <cellStyle name="Percent 7 4 3 3" xfId="14815"/>
    <cellStyle name="Percent 7 4 4" xfId="14816"/>
    <cellStyle name="Percent 7 4 4 2" xfId="14817"/>
    <cellStyle name="Percent 7 4 5" xfId="14818"/>
    <cellStyle name="Percent 7 5" xfId="14819"/>
    <cellStyle name="Percent 7 5 2" xfId="14820"/>
    <cellStyle name="Percent 7 5 2 2" xfId="14821"/>
    <cellStyle name="Percent 7 5 3" xfId="14822"/>
    <cellStyle name="Percent 7 6" xfId="14823"/>
    <cellStyle name="Percent 7 6 2" xfId="14824"/>
    <cellStyle name="Percent 7 6 2 2" xfId="14825"/>
    <cellStyle name="Percent 7 6 3" xfId="14826"/>
    <cellStyle name="Percent 7 7" xfId="14827"/>
    <cellStyle name="Percent 7 7 2" xfId="14828"/>
    <cellStyle name="Percent 7 8" xfId="14829"/>
    <cellStyle name="Percent 7 9" xfId="14830"/>
    <cellStyle name="Percent 8" xfId="14831"/>
    <cellStyle name="Percent 8 2" xfId="14832"/>
    <cellStyle name="Percent 8 2 2" xfId="14833"/>
    <cellStyle name="Percent 8 2 2 2" xfId="14834"/>
    <cellStyle name="Percent 8 2 2 2 2" xfId="14835"/>
    <cellStyle name="Percent 8 2 2 2 2 2" xfId="14836"/>
    <cellStyle name="Percent 8 2 2 2 3" xfId="14837"/>
    <cellStyle name="Percent 8 2 2 3" xfId="14838"/>
    <cellStyle name="Percent 8 2 2 3 2" xfId="14839"/>
    <cellStyle name="Percent 8 2 2 3 2 2" xfId="14840"/>
    <cellStyle name="Percent 8 2 2 3 3" xfId="14841"/>
    <cellStyle name="Percent 8 2 2 4" xfId="14842"/>
    <cellStyle name="Percent 8 2 2 4 2" xfId="14843"/>
    <cellStyle name="Percent 8 2 2 5" xfId="14844"/>
    <cellStyle name="Percent 8 2 3" xfId="14845"/>
    <cellStyle name="Percent 8 2 3 2" xfId="14846"/>
    <cellStyle name="Percent 8 2 3 2 2" xfId="14847"/>
    <cellStyle name="Percent 8 2 3 3" xfId="14848"/>
    <cellStyle name="Percent 8 2 4" xfId="14849"/>
    <cellStyle name="Percent 8 2 4 2" xfId="14850"/>
    <cellStyle name="Percent 8 2 4 2 2" xfId="14851"/>
    <cellStyle name="Percent 8 2 4 3" xfId="14852"/>
    <cellStyle name="Percent 8 2 5" xfId="14853"/>
    <cellStyle name="Percent 8 2 5 2" xfId="14854"/>
    <cellStyle name="Percent 8 2 6" xfId="14855"/>
    <cellStyle name="Percent 8 3" xfId="14856"/>
    <cellStyle name="Percent 8 3 2" xfId="14857"/>
    <cellStyle name="Percent 8 3 2 2" xfId="14858"/>
    <cellStyle name="Percent 8 3 2 2 2" xfId="14859"/>
    <cellStyle name="Percent 8 3 2 3" xfId="14860"/>
    <cellStyle name="Percent 8 3 3" xfId="14861"/>
    <cellStyle name="Percent 8 3 3 2" xfId="14862"/>
    <cellStyle name="Percent 8 3 3 2 2" xfId="14863"/>
    <cellStyle name="Percent 8 3 3 3" xfId="14864"/>
    <cellStyle name="Percent 8 3 4" xfId="14865"/>
    <cellStyle name="Percent 8 3 4 2" xfId="14866"/>
    <cellStyle name="Percent 8 3 5" xfId="14867"/>
    <cellStyle name="Percent 8 4" xfId="14868"/>
    <cellStyle name="Percent 8 4 2" xfId="14869"/>
    <cellStyle name="Percent 8 4 2 2" xfId="14870"/>
    <cellStyle name="Percent 8 4 3" xfId="14871"/>
    <cellStyle name="Percent 8 5" xfId="14872"/>
    <cellStyle name="Percent 8 5 2" xfId="14873"/>
    <cellStyle name="Percent 8 5 2 2" xfId="14874"/>
    <cellStyle name="Percent 8 5 3" xfId="14875"/>
    <cellStyle name="Percent 8 6" xfId="14876"/>
    <cellStyle name="Percent 8 6 2" xfId="14877"/>
    <cellStyle name="Percent 8 7" xfId="14878"/>
    <cellStyle name="Percent 8 7 2" xfId="14879"/>
    <cellStyle name="Percent 8 8" xfId="14880"/>
    <cellStyle name="Percent 8 9" xfId="14881"/>
    <cellStyle name="Percent 9" xfId="14882"/>
    <cellStyle name="Percent 9 2" xfId="14883"/>
    <cellStyle name="Percent 9 2 2" xfId="14884"/>
    <cellStyle name="Percent 9 3" xfId="14885"/>
    <cellStyle name="Percent 9 3 2" xfId="14886"/>
    <cellStyle name="Percent 9 4" xfId="14887"/>
    <cellStyle name="Percent 9 4 2" xfId="14888"/>
    <cellStyle name="Percent 9 5" xfId="14889"/>
    <cellStyle name="Percent 9 6" xfId="14890"/>
    <cellStyle name="Percent(1)" xfId="14891"/>
    <cellStyle name="Percent(1) 2" xfId="14892"/>
    <cellStyle name="Percent(1) 3" xfId="14893"/>
    <cellStyle name="Percent(2)" xfId="14894"/>
    <cellStyle name="Percent(2) 2" xfId="14895"/>
    <cellStyle name="Percent(2) 3" xfId="14896"/>
    <cellStyle name="Posting_Period" xfId="14897"/>
    <cellStyle name="PRM" xfId="14898"/>
    <cellStyle name="PRM 2" xfId="14899"/>
    <cellStyle name="PRM 2 2" xfId="14900"/>
    <cellStyle name="PRM 2 3" xfId="14901"/>
    <cellStyle name="PRM 3" xfId="14902"/>
    <cellStyle name="PRM 3 2" xfId="14903"/>
    <cellStyle name="PRM 3 3" xfId="14904"/>
    <cellStyle name="PRM 4" xfId="14905"/>
    <cellStyle name="PRM 5" xfId="14906"/>
    <cellStyle name="PRM_2011-11" xfId="14907"/>
    <cellStyle name="PS_Comma" xfId="14908"/>
    <cellStyle name="PSChar" xfId="14909"/>
    <cellStyle name="PSChar 2" xfId="14910"/>
    <cellStyle name="PSChar 3" xfId="14911"/>
    <cellStyle name="PSDate" xfId="14912"/>
    <cellStyle name="PSDate 2" xfId="14913"/>
    <cellStyle name="PSDate 3" xfId="14914"/>
    <cellStyle name="PSDec" xfId="14915"/>
    <cellStyle name="PSDec 2" xfId="14916"/>
    <cellStyle name="PSDec 3" xfId="14917"/>
    <cellStyle name="PSHeading" xfId="14918"/>
    <cellStyle name="PSHeading 2" xfId="14919"/>
    <cellStyle name="PSHeading 2 2" xfId="14920"/>
    <cellStyle name="PSHeading 2 2 2" xfId="14921"/>
    <cellStyle name="PSHeading 2 3" xfId="14922"/>
    <cellStyle name="PSHeading 3" xfId="14923"/>
    <cellStyle name="PSHeading 4" xfId="14924"/>
    <cellStyle name="PSInt" xfId="14925"/>
    <cellStyle name="PSInt 2" xfId="14926"/>
    <cellStyle name="PSInt 3" xfId="14927"/>
    <cellStyle name="PSSpacer" xfId="14928"/>
    <cellStyle name="PSSpacer 2" xfId="14929"/>
    <cellStyle name="PSSpacer 3" xfId="14930"/>
    <cellStyle name="Reset  - Style4" xfId="14931"/>
    <cellStyle name="Reset  - Style4 2" xfId="14932"/>
    <cellStyle name="Reset  - Style7" xfId="14933"/>
    <cellStyle name="Reset  - Style7 2" xfId="14934"/>
    <cellStyle name="STYL0 - Style1" xfId="14935"/>
    <cellStyle name="STYL0 - Style1 2" xfId="14936"/>
    <cellStyle name="STYL0 - Style1 3" xfId="14937"/>
    <cellStyle name="STYL1 - Style2" xfId="14938"/>
    <cellStyle name="STYL1 - Style2 2" xfId="14939"/>
    <cellStyle name="STYL1 - Style2 3" xfId="14940"/>
    <cellStyle name="STYL2 - Style3" xfId="14941"/>
    <cellStyle name="STYL2 - Style3 2" xfId="14942"/>
    <cellStyle name="STYL2 - Style3 3" xfId="14943"/>
    <cellStyle name="STYL3 - Style4" xfId="14944"/>
    <cellStyle name="STYL3 - Style4 2" xfId="14945"/>
    <cellStyle name="STYL3 - Style4 3" xfId="14946"/>
    <cellStyle name="STYL4 - Style5" xfId="14947"/>
    <cellStyle name="STYL4 - Style5 2" xfId="14948"/>
    <cellStyle name="STYL4 - Style5 3" xfId="14949"/>
    <cellStyle name="STYL5 - Style6" xfId="14950"/>
    <cellStyle name="STYL5 - Style6 2" xfId="14951"/>
    <cellStyle name="STYL5 - Style6 3" xfId="14952"/>
    <cellStyle name="STYL6 - Style7" xfId="14953"/>
    <cellStyle name="STYL6 - Style7 2" xfId="14954"/>
    <cellStyle name="STYL6 - Style7 3" xfId="14955"/>
    <cellStyle name="STYL7 - Style8" xfId="14956"/>
    <cellStyle name="STYL7 - Style8 2" xfId="14957"/>
    <cellStyle name="STYL7 - Style8 3" xfId="14958"/>
    <cellStyle name="Style 1" xfId="14959"/>
    <cellStyle name="Style 1 2" xfId="14960"/>
    <cellStyle name="Style 1 2 2" xfId="14961"/>
    <cellStyle name="Style 1 2 2 2" xfId="14962"/>
    <cellStyle name="Style 1 2 3" xfId="14963"/>
    <cellStyle name="Style 1 2 4" xfId="14964"/>
    <cellStyle name="Style 1 3" xfId="14965"/>
    <cellStyle name="Style 1 3 2" xfId="14966"/>
    <cellStyle name="Style 1 4" xfId="14967"/>
    <cellStyle name="Style 1 4 2" xfId="14968"/>
    <cellStyle name="Style 1 5" xfId="14969"/>
    <cellStyle name="Style 1 6" xfId="14970"/>
    <cellStyle name="Style 1 7" xfId="14971"/>
    <cellStyle name="Style 1_Recycle Center Commodities MRF" xfId="14972"/>
    <cellStyle name="STYLE1" xfId="14973"/>
    <cellStyle name="STYLE1 2" xfId="14974"/>
    <cellStyle name="STYLE1 2 2" xfId="14975"/>
    <cellStyle name="STYLE1 2 3" xfId="14976"/>
    <cellStyle name="STYLE1 2 4" xfId="14977"/>
    <cellStyle name="STYLE1 3" xfId="14978"/>
    <cellStyle name="STYLE1 4" xfId="14979"/>
    <cellStyle name="STYLE1 5" xfId="14980"/>
    <cellStyle name="sub heading" xfId="14981"/>
    <cellStyle name="sub heading 2" xfId="14982"/>
    <cellStyle name="sub heading 3" xfId="14983"/>
    <cellStyle name="Table  - Style5" xfId="14984"/>
    <cellStyle name="Table  - Style5 2" xfId="14985"/>
    <cellStyle name="Table  - Style5 2 2" xfId="14986"/>
    <cellStyle name="Table  - Style5 3" xfId="14987"/>
    <cellStyle name="Table  - Style5 3 2" xfId="14988"/>
    <cellStyle name="Table  - Style5 4" xfId="14989"/>
    <cellStyle name="Table  - Style5 4 2" xfId="14990"/>
    <cellStyle name="Table  - Style5 5" xfId="14991"/>
    <cellStyle name="Table  - Style5 5 2" xfId="14992"/>
    <cellStyle name="Table  - Style5 6" xfId="14993"/>
    <cellStyle name="Table  - Style6" xfId="14994"/>
    <cellStyle name="Table  - Style6 2" xfId="14995"/>
    <cellStyle name="Table  - Style6 2 2" xfId="14996"/>
    <cellStyle name="Table  - Style6 3" xfId="14997"/>
    <cellStyle name="Table  - Style6 3 2" xfId="14998"/>
    <cellStyle name="Table  - Style6 4" xfId="14999"/>
    <cellStyle name="Table  - Style6 4 2" xfId="15000"/>
    <cellStyle name="Table  - Style6 5" xfId="15001"/>
    <cellStyle name="Table  - Style6 5 2" xfId="15002"/>
    <cellStyle name="Table  - Style6 6" xfId="15003"/>
    <cellStyle name="Tax_Rate" xfId="15004"/>
    <cellStyle name="Title  - Style1" xfId="15005"/>
    <cellStyle name="Title  - Style1 2" xfId="15006"/>
    <cellStyle name="Title  - Style6" xfId="15007"/>
    <cellStyle name="Title  - Style6 2" xfId="15008"/>
    <cellStyle name="Title 10" xfId="15009"/>
    <cellStyle name="Title 10 2" xfId="15010"/>
    <cellStyle name="Title 11" xfId="15011"/>
    <cellStyle name="Title 11 2" xfId="15012"/>
    <cellStyle name="Title 12" xfId="15013"/>
    <cellStyle name="Title 12 2" xfId="15014"/>
    <cellStyle name="Title 13" xfId="15015"/>
    <cellStyle name="Title 14" xfId="15016"/>
    <cellStyle name="Title 2" xfId="15017"/>
    <cellStyle name="Title 2 2" xfId="15018"/>
    <cellStyle name="Title 2 2 2" xfId="15019"/>
    <cellStyle name="Title 2 2 2 2" xfId="15020"/>
    <cellStyle name="Title 2 2 3" xfId="15021"/>
    <cellStyle name="Title 2 2 4" xfId="15022"/>
    <cellStyle name="Title 2 3" xfId="15023"/>
    <cellStyle name="Title 2 3 2" xfId="15024"/>
    <cellStyle name="Title 2 3 3" xfId="15025"/>
    <cellStyle name="Title 2 4" xfId="15026"/>
    <cellStyle name="Title 2 5" xfId="15027"/>
    <cellStyle name="Title 2 6" xfId="15028"/>
    <cellStyle name="Title 3" xfId="15029"/>
    <cellStyle name="Title 3 2" xfId="15030"/>
    <cellStyle name="Title 3 2 2" xfId="15031"/>
    <cellStyle name="Title 3 2 3" xfId="15032"/>
    <cellStyle name="Title 3 3" xfId="15033"/>
    <cellStyle name="Title 3 4" xfId="15034"/>
    <cellStyle name="Title 3 5" xfId="15035"/>
    <cellStyle name="Title 3 6" xfId="15036"/>
    <cellStyle name="Title 4" xfId="15037"/>
    <cellStyle name="Title 4 2" xfId="15038"/>
    <cellStyle name="Title 5" xfId="15039"/>
    <cellStyle name="Title 5 2" xfId="15040"/>
    <cellStyle name="Title 6" xfId="15041"/>
    <cellStyle name="Title 6 2" xfId="15042"/>
    <cellStyle name="Title 7" xfId="15043"/>
    <cellStyle name="Title 7 2" xfId="15044"/>
    <cellStyle name="Title 8" xfId="15045"/>
    <cellStyle name="Title 8 2" xfId="15046"/>
    <cellStyle name="Title 9" xfId="15047"/>
    <cellStyle name="Title 9 2" xfId="15048"/>
    <cellStyle name="Total 2" xfId="15049"/>
    <cellStyle name="Total 2 2" xfId="15050"/>
    <cellStyle name="Total 2 2 2" xfId="15051"/>
    <cellStyle name="Total 2 2 2 2" xfId="15052"/>
    <cellStyle name="Total 2 2 2 2 2" xfId="15053"/>
    <cellStyle name="Total 2 2 2 3" xfId="15054"/>
    <cellStyle name="Total 2 2 2 3 2" xfId="15055"/>
    <cellStyle name="Total 2 2 2 4" xfId="15056"/>
    <cellStyle name="Total 2 2 2 4 2" xfId="15057"/>
    <cellStyle name="Total 2 2 2 5" xfId="15058"/>
    <cellStyle name="Total 2 2 2 5 2" xfId="15059"/>
    <cellStyle name="Total 2 2 2 6" xfId="15060"/>
    <cellStyle name="Total 2 2 3" xfId="15061"/>
    <cellStyle name="Total 2 2 3 2" xfId="15062"/>
    <cellStyle name="Total 2 2 3 2 2" xfId="15063"/>
    <cellStyle name="Total 2 2 3 3" xfId="15064"/>
    <cellStyle name="Total 2 2 3 3 2" xfId="15065"/>
    <cellStyle name="Total 2 2 3 4" xfId="15066"/>
    <cellStyle name="Total 2 2 3 4 2" xfId="15067"/>
    <cellStyle name="Total 2 2 3 5" xfId="15068"/>
    <cellStyle name="Total 2 2 3 5 2" xfId="15069"/>
    <cellStyle name="Total 2 2 3 6" xfId="15070"/>
    <cellStyle name="Total 2 2 4" xfId="15071"/>
    <cellStyle name="Total 2 2 5" xfId="15072"/>
    <cellStyle name="Total 2 3" xfId="15073"/>
    <cellStyle name="Total 2 3 2" xfId="15074"/>
    <cellStyle name="Total 2 3 2 2" xfId="15075"/>
    <cellStyle name="Total 2 3 2 2 2" xfId="15076"/>
    <cellStyle name="Total 2 3 2 3" xfId="15077"/>
    <cellStyle name="Total 2 3 2 3 2" xfId="15078"/>
    <cellStyle name="Total 2 3 2 4" xfId="15079"/>
    <cellStyle name="Total 2 3 2 4 2" xfId="15080"/>
    <cellStyle name="Total 2 3 2 5" xfId="15081"/>
    <cellStyle name="Total 2 3 2 5 2" xfId="15082"/>
    <cellStyle name="Total 2 3 2 6" xfId="15083"/>
    <cellStyle name="Total 2 3 3" xfId="15084"/>
    <cellStyle name="Total 2 3 3 2" xfId="15085"/>
    <cellStyle name="Total 2 3 4" xfId="15086"/>
    <cellStyle name="Total 2 3 4 2" xfId="15087"/>
    <cellStyle name="Total 2 3 5" xfId="15088"/>
    <cellStyle name="Total 2 3 5 2" xfId="15089"/>
    <cellStyle name="Total 2 3 6" xfId="15090"/>
    <cellStyle name="Total 2 3 6 2" xfId="15091"/>
    <cellStyle name="Total 2 3 7" xfId="15092"/>
    <cellStyle name="Total 2 3 8" xfId="15093"/>
    <cellStyle name="Total 2 4" xfId="15094"/>
    <cellStyle name="Total 2 4 2" xfId="15095"/>
    <cellStyle name="Total 2 4 2 2" xfId="15096"/>
    <cellStyle name="Total 2 4 2 2 2" xfId="15097"/>
    <cellStyle name="Total 2 4 2 3" xfId="15098"/>
    <cellStyle name="Total 2 4 2 3 2" xfId="15099"/>
    <cellStyle name="Total 2 4 2 4" xfId="15100"/>
    <cellStyle name="Total 2 4 2 4 2" xfId="15101"/>
    <cellStyle name="Total 2 4 2 5" xfId="15102"/>
    <cellStyle name="Total 2 4 2 5 2" xfId="15103"/>
    <cellStyle name="Total 2 4 2 6" xfId="15104"/>
    <cellStyle name="Total 2 4 3" xfId="15105"/>
    <cellStyle name="Total 2 4 3 2" xfId="15106"/>
    <cellStyle name="Total 2 4 4" xfId="15107"/>
    <cellStyle name="Total 2 4 4 2" xfId="15108"/>
    <cellStyle name="Total 2 4 5" xfId="15109"/>
    <cellStyle name="Total 2 4 5 2" xfId="15110"/>
    <cellStyle name="Total 2 4 6" xfId="15111"/>
    <cellStyle name="Total 2 4 6 2" xfId="15112"/>
    <cellStyle name="Total 2 4 7" xfId="15113"/>
    <cellStyle name="Total 2 4 8" xfId="15114"/>
    <cellStyle name="Total 2 5" xfId="15115"/>
    <cellStyle name="Total 2 5 2" xfId="15116"/>
    <cellStyle name="Total 2 5 2 2" xfId="15117"/>
    <cellStyle name="Total 2 5 3" xfId="15118"/>
    <cellStyle name="Total 2 5 3 2" xfId="15119"/>
    <cellStyle name="Total 2 5 4" xfId="15120"/>
    <cellStyle name="Total 2 5 4 2" xfId="15121"/>
    <cellStyle name="Total 2 5 5" xfId="15122"/>
    <cellStyle name="Total 2 5 5 2" xfId="15123"/>
    <cellStyle name="Total 2 5 6" xfId="15124"/>
    <cellStyle name="Total 2 6" xfId="15125"/>
    <cellStyle name="Total 2 6 2" xfId="15126"/>
    <cellStyle name="Total 2 7" xfId="15127"/>
    <cellStyle name="Total 2 8" xfId="15128"/>
    <cellStyle name="Total 2 9" xfId="15129"/>
    <cellStyle name="Total 3" xfId="15130"/>
    <cellStyle name="Total 3 2" xfId="15131"/>
    <cellStyle name="Total 3 2 2" xfId="15132"/>
    <cellStyle name="Total 3 2 2 2" xfId="15133"/>
    <cellStyle name="Total 3 2 2 2 2" xfId="15134"/>
    <cellStyle name="Total 3 2 2 3" xfId="15135"/>
    <cellStyle name="Total 3 2 2 3 2" xfId="15136"/>
    <cellStyle name="Total 3 2 2 4" xfId="15137"/>
    <cellStyle name="Total 3 2 2 4 2" xfId="15138"/>
    <cellStyle name="Total 3 2 2 5" xfId="15139"/>
    <cellStyle name="Total 3 2 2 5 2" xfId="15140"/>
    <cellStyle name="Total 3 2 2 6" xfId="15141"/>
    <cellStyle name="Total 3 2 3" xfId="15142"/>
    <cellStyle name="Total 3 2 3 2" xfId="15143"/>
    <cellStyle name="Total 3 2 3 2 2" xfId="15144"/>
    <cellStyle name="Total 3 2 3 3" xfId="15145"/>
    <cellStyle name="Total 3 2 3 3 2" xfId="15146"/>
    <cellStyle name="Total 3 2 3 4" xfId="15147"/>
    <cellStyle name="Total 3 2 3 4 2" xfId="15148"/>
    <cellStyle name="Total 3 2 3 5" xfId="15149"/>
    <cellStyle name="Total 3 2 3 5 2" xfId="15150"/>
    <cellStyle name="Total 3 2 3 6" xfId="15151"/>
    <cellStyle name="Total 3 2 4" xfId="15152"/>
    <cellStyle name="Total 3 2 5" xfId="15153"/>
    <cellStyle name="Total 3 3" xfId="15154"/>
    <cellStyle name="Total 3 3 2" xfId="15155"/>
    <cellStyle name="Total 3 3 2 2" xfId="15156"/>
    <cellStyle name="Total 3 3 2 2 2" xfId="15157"/>
    <cellStyle name="Total 3 3 2 3" xfId="15158"/>
    <cellStyle name="Total 3 3 2 3 2" xfId="15159"/>
    <cellStyle name="Total 3 3 2 4" xfId="15160"/>
    <cellStyle name="Total 3 3 2 4 2" xfId="15161"/>
    <cellStyle name="Total 3 3 2 5" xfId="15162"/>
    <cellStyle name="Total 3 3 2 5 2" xfId="15163"/>
    <cellStyle name="Total 3 3 2 6" xfId="15164"/>
    <cellStyle name="Total 3 3 3" xfId="15165"/>
    <cellStyle name="Total 3 3 3 2" xfId="15166"/>
    <cellStyle name="Total 3 3 4" xfId="15167"/>
    <cellStyle name="Total 3 3 4 2" xfId="15168"/>
    <cellStyle name="Total 3 3 5" xfId="15169"/>
    <cellStyle name="Total 3 3 5 2" xfId="15170"/>
    <cellStyle name="Total 3 3 6" xfId="15171"/>
    <cellStyle name="Total 3 3 6 2" xfId="15172"/>
    <cellStyle name="Total 3 3 7" xfId="15173"/>
    <cellStyle name="Total 3 3 8" xfId="15174"/>
    <cellStyle name="Total 3 4" xfId="15175"/>
    <cellStyle name="Total 3 4 2" xfId="15176"/>
    <cellStyle name="Total 3 4 2 2" xfId="15177"/>
    <cellStyle name="Total 3 4 3" xfId="15178"/>
    <cellStyle name="Total 3 4 3 2" xfId="15179"/>
    <cellStyle name="Total 3 4 4" xfId="15180"/>
    <cellStyle name="Total 3 4 4 2" xfId="15181"/>
    <cellStyle name="Total 3 4 5" xfId="15182"/>
    <cellStyle name="Total 3 4 5 2" xfId="15183"/>
    <cellStyle name="Total 3 4 6" xfId="15184"/>
    <cellStyle name="Total 3 4 7" xfId="15185"/>
    <cellStyle name="Total 3 5" xfId="15186"/>
    <cellStyle name="Total 3 5 2" xfId="15187"/>
    <cellStyle name="Total 3 5 2 2" xfId="15188"/>
    <cellStyle name="Total 3 5 3" xfId="15189"/>
    <cellStyle name="Total 3 5 3 2" xfId="15190"/>
    <cellStyle name="Total 3 5 4" xfId="15191"/>
    <cellStyle name="Total 3 5 4 2" xfId="15192"/>
    <cellStyle name="Total 3 5 5" xfId="15193"/>
    <cellStyle name="Total 3 5 5 2" xfId="15194"/>
    <cellStyle name="Total 3 5 6" xfId="15195"/>
    <cellStyle name="Total 3 6" xfId="15196"/>
    <cellStyle name="Total 3 7" xfId="15197"/>
    <cellStyle name="Total 3 8" xfId="15198"/>
    <cellStyle name="Total 4" xfId="15199"/>
    <cellStyle name="Total 4 2" xfId="15200"/>
    <cellStyle name="Total 4 2 2" xfId="15201"/>
    <cellStyle name="Total 4 3" xfId="15202"/>
    <cellStyle name="Total 4 3 2" xfId="15203"/>
    <cellStyle name="Total 4 3 2 2" xfId="15204"/>
    <cellStyle name="Total 4 3 3" xfId="15205"/>
    <cellStyle name="Total 4 3 3 2" xfId="15206"/>
    <cellStyle name="Total 4 3 4" xfId="15207"/>
    <cellStyle name="Total 4 3 4 2" xfId="15208"/>
    <cellStyle name="Total 4 3 5" xfId="15209"/>
    <cellStyle name="Total 4 3 5 2" xfId="15210"/>
    <cellStyle name="Total 4 3 6" xfId="15211"/>
    <cellStyle name="Total 4 4" xfId="15212"/>
    <cellStyle name="Total 4 4 2" xfId="15213"/>
    <cellStyle name="Total 4 5" xfId="15214"/>
    <cellStyle name="Total 4 5 2" xfId="15215"/>
    <cellStyle name="Total 4 6" xfId="15216"/>
    <cellStyle name="Total 4 6 2" xfId="15217"/>
    <cellStyle name="Total 4 7" xfId="15218"/>
    <cellStyle name="Total 4 7 2" xfId="15219"/>
    <cellStyle name="Total 4 8" xfId="15220"/>
    <cellStyle name="Total 4 9" xfId="15221"/>
    <cellStyle name="Total 5" xfId="15222"/>
    <cellStyle name="Total 6" xfId="15223"/>
    <cellStyle name="TotCol - Style5" xfId="15224"/>
    <cellStyle name="TotCol - Style5 2" xfId="15225"/>
    <cellStyle name="TotCol - Style7" xfId="15226"/>
    <cellStyle name="TotCol - Style7 2" xfId="15227"/>
    <cellStyle name="TotRow - Style4" xfId="15228"/>
    <cellStyle name="TotRow - Style4 2" xfId="15229"/>
    <cellStyle name="TotRow - Style4 2 2" xfId="15230"/>
    <cellStyle name="TotRow - Style4 3" xfId="15231"/>
    <cellStyle name="TotRow - Style4 3 2" xfId="15232"/>
    <cellStyle name="TotRow - Style4 4" xfId="15233"/>
    <cellStyle name="TotRow - Style4 4 2" xfId="15234"/>
    <cellStyle name="TotRow - Style4 5" xfId="15235"/>
    <cellStyle name="TotRow - Style4 5 2" xfId="15236"/>
    <cellStyle name="TotRow - Style4 6" xfId="15237"/>
    <cellStyle name="TotRow - Style8" xfId="15238"/>
    <cellStyle name="TotRow - Style8 2" xfId="15239"/>
    <cellStyle name="TotRow - Style8 2 2" xfId="15240"/>
    <cellStyle name="TotRow - Style8 3" xfId="15241"/>
    <cellStyle name="TotRow - Style8 3 2" xfId="15242"/>
    <cellStyle name="TotRow - Style8 4" xfId="15243"/>
    <cellStyle name="TotRow - Style8 4 2" xfId="15244"/>
    <cellStyle name="TotRow - Style8 5" xfId="15245"/>
    <cellStyle name="TotRow - Style8 5 2" xfId="15246"/>
    <cellStyle name="TotRow - Style8 6" xfId="15247"/>
    <cellStyle name="Transcript_Date" xfId="15248"/>
    <cellStyle name="Warning Text 2" xfId="15249"/>
    <cellStyle name="Warning Text 2 2" xfId="15250"/>
    <cellStyle name="Warning Text 2 3" xfId="15251"/>
    <cellStyle name="Warning Text 2 4" xfId="15252"/>
    <cellStyle name="Warning Text 3" xfId="15253"/>
    <cellStyle name="Warning Text 3 2" xfId="15254"/>
    <cellStyle name="Warning Text 3 3" xfId="15255"/>
    <cellStyle name="Warning Text 3 4" xfId="15256"/>
    <cellStyle name="Warning Text 4" xfId="15257"/>
    <cellStyle name="Warning Text 4 2" xfId="15258"/>
    <cellStyle name="Warning Text 5" xfId="15259"/>
    <cellStyle name="Warning Text 6" xfId="15260"/>
    <cellStyle name="WM_STANDARD" xfId="15261"/>
  </cellStyles>
  <dxfs count="0"/>
  <tableStyles count="0" defaultTableStyle="TableStyleMedium9" defaultPivotStyle="PivotStyleLight16"/>
  <colors>
    <mruColors>
      <color rgb="FF0000FF"/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IP%20Files/LeMay%20Companies/Depreciation%20General/2015%20FAR's/2180,%202182%20FAR%2012-31-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ject_LastPulledValues"/>
      <sheetName val="2180"/>
      <sheetName val="2182"/>
      <sheetName val="ProjDepr"/>
      <sheetName val="District Summary"/>
      <sheetName val="Invoice"/>
    </sheetNames>
    <sheetDataSet>
      <sheetData sheetId="0"/>
      <sheetData sheetId="1">
        <row r="686">
          <cell r="R686">
            <v>1197082.69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124"/>
  <sheetViews>
    <sheetView showGridLines="0" tabSelected="1" view="pageBreakPreview" zoomScale="60" zoomScaleNormal="85" workbookViewId="0">
      <pane xSplit="1" ySplit="6" topLeftCell="B7" activePane="bottomRight" state="frozen"/>
      <selection activeCell="P20" sqref="P20"/>
      <selection pane="topRight" activeCell="P20" sqref="P20"/>
      <selection pane="bottomLeft" activeCell="P20" sqref="P20"/>
      <selection pane="bottomRight" activeCell="P20" sqref="P20"/>
    </sheetView>
  </sheetViews>
  <sheetFormatPr defaultRowHeight="15"/>
  <cols>
    <col min="1" max="1" width="48.28515625" customWidth="1"/>
    <col min="2" max="8" width="18.85546875" customWidth="1"/>
    <col min="9" max="10" width="11.5703125" bestFit="1" customWidth="1"/>
    <col min="11" max="11" width="28.85546875" bestFit="1" customWidth="1"/>
  </cols>
  <sheetData>
    <row r="1" spans="1:8">
      <c r="A1" s="3" t="s">
        <v>1144</v>
      </c>
    </row>
    <row r="2" spans="1:8">
      <c r="A2" s="3" t="s">
        <v>1145</v>
      </c>
    </row>
    <row r="3" spans="1:8">
      <c r="A3" s="7">
        <v>43799</v>
      </c>
    </row>
    <row r="4" spans="1:8">
      <c r="A4" s="6"/>
      <c r="B4" s="6"/>
      <c r="C4" s="6"/>
      <c r="D4" s="6"/>
      <c r="E4" s="6"/>
      <c r="F4" s="6" t="s">
        <v>7</v>
      </c>
      <c r="G4" s="6" t="s">
        <v>8</v>
      </c>
      <c r="H4" s="6" t="s">
        <v>20</v>
      </c>
    </row>
    <row r="5" spans="1:8">
      <c r="A5" s="84" t="s">
        <v>395</v>
      </c>
      <c r="B5" s="84" t="s">
        <v>15</v>
      </c>
      <c r="C5" s="84" t="s">
        <v>17</v>
      </c>
      <c r="D5" s="84" t="s">
        <v>14</v>
      </c>
      <c r="E5" s="84" t="s">
        <v>396</v>
      </c>
      <c r="F5" s="84" t="s">
        <v>397</v>
      </c>
      <c r="G5" s="84" t="s">
        <v>397</v>
      </c>
      <c r="H5" s="84" t="s">
        <v>29</v>
      </c>
    </row>
    <row r="6" spans="1:8">
      <c r="A6" s="85"/>
      <c r="B6" s="85"/>
      <c r="C6" s="85"/>
      <c r="D6" s="85" t="s">
        <v>15</v>
      </c>
      <c r="E6" s="85" t="s">
        <v>14</v>
      </c>
      <c r="F6" s="86">
        <v>43435</v>
      </c>
      <c r="G6" s="86">
        <v>43799</v>
      </c>
      <c r="H6" s="86">
        <f>G6</f>
        <v>43799</v>
      </c>
    </row>
    <row r="7" spans="1:8">
      <c r="A7" s="4" t="s">
        <v>339</v>
      </c>
    </row>
    <row r="8" spans="1:8">
      <c r="A8" t="str">
        <f>'2180 Trucks'!B13</f>
        <v>RESI/COMM GARBAGE</v>
      </c>
      <c r="B8" s="5">
        <f>'2180 Trucks'!N98</f>
        <v>14259926.240737708</v>
      </c>
      <c r="C8" s="5">
        <f>B8-D8</f>
        <v>0</v>
      </c>
      <c r="D8" s="5">
        <f>'2180 Trucks'!O98</f>
        <v>14259926.240737708</v>
      </c>
      <c r="E8" s="5">
        <f>'2180 Trucks'!R98</f>
        <v>1423877.6555238089</v>
      </c>
      <c r="F8" s="5">
        <f>'2180 Trucks'!S98</f>
        <v>1543856.3333091338</v>
      </c>
      <c r="G8" s="5">
        <f>'2180 Trucks'!T98</f>
        <v>2937005.8628329416</v>
      </c>
      <c r="H8" s="5">
        <f>'2180 Trucks'!U98</f>
        <v>11329712.544571424</v>
      </c>
    </row>
    <row r="9" spans="1:8">
      <c r="B9" s="5"/>
      <c r="C9" s="5"/>
      <c r="D9" s="5"/>
      <c r="E9" s="5"/>
      <c r="F9" s="5"/>
      <c r="G9" s="5"/>
      <c r="H9" s="5"/>
    </row>
    <row r="10" spans="1:8">
      <c r="A10" t="str">
        <f>'2180 Trucks'!B100</f>
        <v>JBLM CONTRACT AND HOUSING GARBAGE SHARED</v>
      </c>
      <c r="B10" s="5">
        <f>'2180 Trucks'!N103</f>
        <v>356786.03</v>
      </c>
      <c r="C10" s="5">
        <f>B10-D10</f>
        <v>0</v>
      </c>
      <c r="D10" s="5">
        <f>'2180 Trucks'!O103</f>
        <v>356786.03</v>
      </c>
      <c r="E10" s="5">
        <f>'2180 Trucks'!R103</f>
        <v>35678.603000000003</v>
      </c>
      <c r="F10" s="5">
        <f>'2180 Trucks'!S103</f>
        <v>0</v>
      </c>
      <c r="G10" s="5">
        <f>'2180 Trucks'!T103</f>
        <v>35678.603000000003</v>
      </c>
      <c r="H10" s="5">
        <f>'2180 Trucks'!U103</f>
        <v>321107.42700000003</v>
      </c>
    </row>
    <row r="11" spans="1:8">
      <c r="B11" s="5"/>
      <c r="C11" s="5"/>
      <c r="D11" s="5"/>
      <c r="E11" s="5"/>
      <c r="F11" s="5"/>
      <c r="G11" s="5"/>
      <c r="H11" s="5"/>
    </row>
    <row r="12" spans="1:8">
      <c r="A12" t="str">
        <f>'2180 Trucks'!B105</f>
        <v>JBLM HOUSING GARBAGE EXCLUSIVE USE</v>
      </c>
      <c r="B12" s="5">
        <f>'2180 Trucks'!N108</f>
        <v>349200.73</v>
      </c>
      <c r="C12" s="5">
        <f>B12-D12</f>
        <v>0</v>
      </c>
      <c r="D12" s="5">
        <f>'2180 Trucks'!O108</f>
        <v>349200.73</v>
      </c>
      <c r="E12" s="5">
        <f>'2180 Trucks'!R108</f>
        <v>34920.072999999997</v>
      </c>
      <c r="F12" s="5">
        <f>'2180 Trucks'!S108</f>
        <v>0</v>
      </c>
      <c r="G12" s="5">
        <f>'2180 Trucks'!T108</f>
        <v>34920.072999999997</v>
      </c>
      <c r="H12" s="5">
        <f>'2180 Trucks'!U108</f>
        <v>314280.65700000001</v>
      </c>
    </row>
    <row r="13" spans="1:8">
      <c r="B13" s="5"/>
      <c r="C13" s="5"/>
      <c r="D13" s="5"/>
      <c r="E13" s="5"/>
      <c r="F13" s="5"/>
      <c r="G13" s="5"/>
      <c r="H13" s="5"/>
    </row>
    <row r="14" spans="1:8">
      <c r="A14" t="str">
        <f>'2180 Trucks'!B110</f>
        <v xml:space="preserve">ROLL OFF </v>
      </c>
      <c r="B14" s="5">
        <f>'2180 Trucks'!N150</f>
        <v>3477357.1560694766</v>
      </c>
      <c r="C14" s="5">
        <f>B14-D14</f>
        <v>0</v>
      </c>
      <c r="D14" s="5">
        <f>'2180 Trucks'!O150</f>
        <v>3477357.1560694766</v>
      </c>
      <c r="E14" s="5">
        <f>'2180 Trucks'!R150</f>
        <v>353071.06971428567</v>
      </c>
      <c r="F14" s="5">
        <f>'2180 Trucks'!S150</f>
        <v>347133.09592661983</v>
      </c>
      <c r="G14" s="5">
        <f>'2180 Trucks'!T150</f>
        <v>679368.50697423914</v>
      </c>
      <c r="H14" s="5">
        <f>'2180 Trucks'!U150</f>
        <v>2797988.6490952387</v>
      </c>
    </row>
    <row r="15" spans="1:8">
      <c r="B15" s="5"/>
      <c r="C15" s="5"/>
      <c r="D15" s="5"/>
      <c r="E15" s="5"/>
      <c r="F15" s="5"/>
      <c r="G15" s="5"/>
      <c r="H15" s="5"/>
    </row>
    <row r="16" spans="1:8">
      <c r="A16" t="str">
        <f>'2180 Trucks'!B152</f>
        <v>CURBSIDE RECYCLE</v>
      </c>
      <c r="B16" s="5">
        <f>'2180 Trucks'!N209</f>
        <v>7155970.1289025508</v>
      </c>
      <c r="C16" s="5">
        <f>B16-D16</f>
        <v>25391.937999999151</v>
      </c>
      <c r="D16" s="5">
        <f>'2180 Trucks'!O209</f>
        <v>7130578.1909025516</v>
      </c>
      <c r="E16" s="5">
        <f>'2180 Trucks'!R209</f>
        <v>655306.57703174604</v>
      </c>
      <c r="F16" s="5">
        <f>'2180 Trucks'!S209</f>
        <v>3729696.5561882639</v>
      </c>
      <c r="G16" s="5">
        <f>'2180 Trucks'!T209</f>
        <v>4372808.233220011</v>
      </c>
      <c r="H16" s="5">
        <f>'2180 Trucks'!U209</f>
        <v>2783161.8956825398</v>
      </c>
    </row>
    <row r="17" spans="1:11">
      <c r="B17" s="5"/>
      <c r="C17" s="5"/>
      <c r="D17" s="5"/>
      <c r="E17" s="5"/>
      <c r="F17" s="5"/>
      <c r="G17" s="5"/>
      <c r="H17" s="5"/>
    </row>
    <row r="18" spans="1:11">
      <c r="A18" t="str">
        <f>'2180 Trucks'!B211</f>
        <v>CURBSIDE RECYCLE - JBLM HOUSING</v>
      </c>
      <c r="B18" s="5">
        <f>'2180 Trucks'!N216</f>
        <v>632842.55000000005</v>
      </c>
      <c r="C18" s="5">
        <f>B18-D18</f>
        <v>0</v>
      </c>
      <c r="D18" s="5">
        <f>'2180 Trucks'!O216</f>
        <v>632842.55000000005</v>
      </c>
      <c r="E18" s="5">
        <f>'2180 Trucks'!R216</f>
        <v>76030.549999999988</v>
      </c>
      <c r="F18" s="5">
        <f>'2180 Trucks'!S216</f>
        <v>245981.15</v>
      </c>
      <c r="G18" s="5">
        <f>'2180 Trucks'!T216</f>
        <v>322011.69999999995</v>
      </c>
      <c r="H18" s="5">
        <f>'2180 Trucks'!U216</f>
        <v>310830.84999999998</v>
      </c>
    </row>
    <row r="19" spans="1:11">
      <c r="B19" s="5"/>
      <c r="C19" s="5"/>
      <c r="D19" s="5"/>
      <c r="E19" s="5"/>
      <c r="F19" s="5"/>
      <c r="G19" s="5"/>
      <c r="H19" s="5"/>
    </row>
    <row r="20" spans="1:11">
      <c r="A20" t="str">
        <f>'2180 Trucks'!B218</f>
        <v>YARD WASTE</v>
      </c>
      <c r="B20" s="5">
        <f>'2180 Trucks'!N231</f>
        <v>850341.38000455371</v>
      </c>
      <c r="C20" s="5">
        <f>B20-D20</f>
        <v>0</v>
      </c>
      <c r="D20" s="5">
        <f>'2180 Trucks'!O231</f>
        <v>850341.38000455371</v>
      </c>
      <c r="E20" s="5">
        <f>'2180 Trucks'!R231</f>
        <v>103492.70763492063</v>
      </c>
      <c r="F20" s="5">
        <f>'2180 Trucks'!S231</f>
        <v>497820.77252836328</v>
      </c>
      <c r="G20" s="5">
        <f>'2180 Trucks'!T231</f>
        <v>577743.99549661716</v>
      </c>
      <c r="H20" s="5">
        <f>'2180 Trucks'!U231</f>
        <v>272597.38450793654</v>
      </c>
    </row>
    <row r="21" spans="1:11">
      <c r="B21" s="5"/>
      <c r="C21" s="5"/>
      <c r="D21" s="5"/>
      <c r="E21" s="5"/>
      <c r="F21" s="5"/>
      <c r="G21" s="5"/>
      <c r="H21" s="5"/>
    </row>
    <row r="22" spans="1:11">
      <c r="A22" t="str">
        <f>'2180 Trucks'!B233</f>
        <v>COMMERCIAL RECYCLING</v>
      </c>
      <c r="B22" s="5">
        <f>'2180 Trucks'!N249</f>
        <v>1796627.8800000001</v>
      </c>
      <c r="C22" s="5">
        <f>B22-D22</f>
        <v>0</v>
      </c>
      <c r="D22" s="5">
        <f>'2180 Trucks'!O249</f>
        <v>1796627.8800000001</v>
      </c>
      <c r="E22" s="5">
        <f>'2180 Trucks'!R249</f>
        <v>145667.80855555556</v>
      </c>
      <c r="F22" s="5">
        <f>'2180 Trucks'!S249</f>
        <v>1221248.5803333335</v>
      </c>
      <c r="G22" s="5">
        <f>'2180 Trucks'!T249</f>
        <v>1366916.3888888885</v>
      </c>
      <c r="H22" s="5">
        <f>'2180 Trucks'!U249</f>
        <v>429711.49111111113</v>
      </c>
    </row>
    <row r="23" spans="1:11">
      <c r="B23" s="5"/>
      <c r="C23" s="5"/>
      <c r="D23" s="5"/>
      <c r="E23" s="5"/>
      <c r="F23" s="5"/>
      <c r="G23" s="5"/>
      <c r="H23" s="5"/>
      <c r="J23" s="4"/>
    </row>
    <row r="24" spans="1:11">
      <c r="A24" t="str">
        <f>'2180 Trucks'!B251</f>
        <v>JBLM CONTRACT GARBAGE</v>
      </c>
      <c r="B24" s="5">
        <f>'2180 Trucks'!N261</f>
        <v>145674.21000000002</v>
      </c>
      <c r="C24" s="5">
        <f>B24-D24</f>
        <v>0</v>
      </c>
      <c r="D24" s="5">
        <f>'2180 Trucks'!O261</f>
        <v>145674.21000000002</v>
      </c>
      <c r="E24" s="5">
        <f>'2180 Trucks'!R261</f>
        <v>15473.180899999999</v>
      </c>
      <c r="F24" s="5">
        <f>'2180 Trucks'!S261</f>
        <v>58017.159299999999</v>
      </c>
      <c r="G24" s="5">
        <f>'2180 Trucks'!T261</f>
        <v>73490.340199999991</v>
      </c>
      <c r="H24" s="5">
        <f>'2180 Trucks'!U261</f>
        <v>72183.869799999986</v>
      </c>
    </row>
    <row r="25" spans="1:11">
      <c r="B25" s="5"/>
      <c r="C25" s="5"/>
      <c r="D25" s="5"/>
      <c r="E25" s="5"/>
      <c r="F25" s="5"/>
      <c r="G25" s="5"/>
      <c r="H25" s="5"/>
      <c r="K25" s="23"/>
    </row>
    <row r="26" spans="1:11">
      <c r="A26" t="str">
        <f>'2180 Trucks'!B264</f>
        <v>JBLM CONTRACT RECYCLING</v>
      </c>
      <c r="B26" s="5">
        <f>'2180 Trucks'!N278</f>
        <v>649249.68999999994</v>
      </c>
      <c r="C26" s="5">
        <f>B26-D26</f>
        <v>49681.48499999987</v>
      </c>
      <c r="D26" s="5">
        <f>'2180 Trucks'!O278</f>
        <v>599568.20500000007</v>
      </c>
      <c r="E26" s="5">
        <f>'2180 Trucks'!R278</f>
        <v>35748.641333333333</v>
      </c>
      <c r="F26" s="5">
        <f>'2180 Trucks'!S278</f>
        <v>351355.92600000004</v>
      </c>
      <c r="G26" s="5">
        <f>'2180 Trucks'!T278</f>
        <v>387104.56733333331</v>
      </c>
      <c r="H26" s="5">
        <f>'2180 Trucks'!U278</f>
        <v>262145.12266666669</v>
      </c>
    </row>
    <row r="27" spans="1:11">
      <c r="B27" s="5"/>
      <c r="C27" s="5"/>
      <c r="D27" s="5"/>
      <c r="E27" s="5"/>
      <c r="F27" s="5"/>
      <c r="G27" s="5"/>
      <c r="H27" s="5"/>
    </row>
    <row r="28" spans="1:11">
      <c r="A28" t="str">
        <f>'2180 Trucks'!B280</f>
        <v>TRANSFER STATION EQUIPMENT</v>
      </c>
      <c r="B28" s="5">
        <f>'2180 Trucks'!N288</f>
        <v>260103.05</v>
      </c>
      <c r="C28" s="5">
        <f>B28-D28</f>
        <v>47765.105599999981</v>
      </c>
      <c r="D28" s="5">
        <f>'2180 Trucks'!O288</f>
        <v>212337.94440000001</v>
      </c>
      <c r="E28" s="5">
        <f>'2180 Trucks'!R288</f>
        <v>5166.6000000000004</v>
      </c>
      <c r="F28" s="5">
        <f>'2180 Trucks'!S288</f>
        <v>249769.84999999998</v>
      </c>
      <c r="G28" s="5">
        <f>'2180 Trucks'!T288</f>
        <v>254936.44999999998</v>
      </c>
      <c r="H28" s="5">
        <f>'2180 Trucks'!U288</f>
        <v>5166.5999999999985</v>
      </c>
    </row>
    <row r="29" spans="1:11">
      <c r="B29" s="5"/>
      <c r="C29" s="5"/>
      <c r="D29" s="5"/>
      <c r="E29" s="5"/>
      <c r="F29" s="5"/>
      <c r="G29" s="5"/>
      <c r="H29" s="5"/>
    </row>
    <row r="30" spans="1:11">
      <c r="A30" t="str">
        <f>'2180 Trucks'!B290</f>
        <v>TRANSFER STATION HAULING</v>
      </c>
      <c r="B30" s="5">
        <f>'2180 Trucks'!N331</f>
        <v>882782.36999999988</v>
      </c>
      <c r="C30" s="5">
        <f>B30-D30</f>
        <v>0</v>
      </c>
      <c r="D30" s="5">
        <f>'2180 Trucks'!O331</f>
        <v>882782.36999999988</v>
      </c>
      <c r="E30" s="5">
        <f>'2180 Trucks'!R331</f>
        <v>61411.609999999986</v>
      </c>
      <c r="F30" s="5">
        <f>'2180 Trucks'!S331</f>
        <v>703333.20666666667</v>
      </c>
      <c r="G30" s="5">
        <f>'2180 Trucks'!T331</f>
        <v>764744.81666666665</v>
      </c>
      <c r="H30" s="5">
        <f>'2180 Trucks'!U331</f>
        <v>118037.55333333334</v>
      </c>
    </row>
    <row r="31" spans="1:11" s="23" customFormat="1">
      <c r="B31" s="5"/>
      <c r="C31" s="5"/>
      <c r="D31" s="5"/>
      <c r="E31" s="5"/>
      <c r="F31" s="5"/>
      <c r="G31" s="5"/>
      <c r="H31" s="5"/>
    </row>
    <row r="32" spans="1:11" s="23" customFormat="1">
      <c r="A32" s="23" t="s">
        <v>888</v>
      </c>
      <c r="B32" s="5">
        <f>'2180 Trucks'!N352</f>
        <v>646239.38</v>
      </c>
      <c r="C32" s="5">
        <f>B32-D32</f>
        <v>0</v>
      </c>
      <c r="D32" s="5">
        <f>'2180 Trucks'!O352</f>
        <v>646239.38</v>
      </c>
      <c r="E32" s="5">
        <f>'2180 Trucks'!R352</f>
        <v>76761.187169047611</v>
      </c>
      <c r="F32" s="5">
        <f>'2180 Trucks'!S352</f>
        <v>315046.88169523812</v>
      </c>
      <c r="G32" s="5">
        <f>'2180 Trucks'!T352</f>
        <v>379571.18753095245</v>
      </c>
      <c r="H32" s="5">
        <f>'2180 Trucks'!U352</f>
        <v>266668.19246904762</v>
      </c>
    </row>
    <row r="33" spans="1:9">
      <c r="B33" s="5"/>
      <c r="C33" s="5"/>
      <c r="D33" s="5"/>
      <c r="E33" s="5"/>
      <c r="F33" s="5"/>
      <c r="G33" s="5"/>
      <c r="H33" s="5"/>
    </row>
    <row r="34" spans="1:9">
      <c r="A34" s="8" t="s">
        <v>398</v>
      </c>
      <c r="B34" s="9">
        <f t="shared" ref="B34:H34" si="0">SUM(B8:B33)</f>
        <v>31463100.795714293</v>
      </c>
      <c r="C34" s="9">
        <f t="shared" si="0"/>
        <v>122838.528599999</v>
      </c>
      <c r="D34" s="9">
        <f t="shared" si="0"/>
        <v>31340262.267114293</v>
      </c>
      <c r="E34" s="9">
        <f t="shared" si="0"/>
        <v>3022606.2638626974</v>
      </c>
      <c r="F34" s="9">
        <f>SUM(F8:F33)</f>
        <v>9263259.5119476207</v>
      </c>
      <c r="G34" s="9">
        <f t="shared" si="0"/>
        <v>12186300.725143647</v>
      </c>
      <c r="H34" s="9">
        <f t="shared" si="0"/>
        <v>19283592.237237304</v>
      </c>
      <c r="I34" s="30">
        <f>H34-'2180 Trucks'!U354</f>
        <v>0</v>
      </c>
    </row>
    <row r="35" spans="1:9">
      <c r="B35" s="5">
        <f>B34-'2180 Trucks'!N354</f>
        <v>0</v>
      </c>
      <c r="C35" s="5"/>
      <c r="D35" s="5">
        <f>D34-'2180 Trucks'!O354</f>
        <v>0</v>
      </c>
      <c r="E35" s="5">
        <f>E34-'2180 Trucks'!R354</f>
        <v>0</v>
      </c>
      <c r="F35" s="5">
        <f>F34-'2180 Trucks'!S354</f>
        <v>0</v>
      </c>
      <c r="G35" s="5">
        <f>G34-'2180 Trucks'!T354</f>
        <v>0</v>
      </c>
      <c r="H35" s="5">
        <f>H34-'2180 Trucks'!U354</f>
        <v>0</v>
      </c>
    </row>
    <row r="36" spans="1:9">
      <c r="A36" s="4" t="s">
        <v>399</v>
      </c>
      <c r="B36" s="5"/>
      <c r="C36" s="5"/>
      <c r="D36" s="5"/>
      <c r="E36" s="5"/>
      <c r="F36" s="5"/>
      <c r="G36" s="5"/>
      <c r="H36" s="5"/>
    </row>
    <row r="37" spans="1:9">
      <c r="A37" t="s">
        <v>400</v>
      </c>
      <c r="B37" s="5">
        <f>'2180 Cont, DB'!N184</f>
        <v>1799740.7589999987</v>
      </c>
      <c r="C37" s="5">
        <f>B37-D37</f>
        <v>0</v>
      </c>
      <c r="D37" s="5">
        <f>'2180 Cont, DB'!O184</f>
        <v>1799740.7589999987</v>
      </c>
      <c r="E37" s="5">
        <f>'2180 Cont, DB'!R184</f>
        <v>131694.5777142857</v>
      </c>
      <c r="F37" s="5">
        <f>'2180 Cont, DB'!S184</f>
        <v>881123.01549999986</v>
      </c>
      <c r="G37" s="5">
        <f>'2180 Cont, DB'!T184</f>
        <v>1012817.5932142856</v>
      </c>
      <c r="H37" s="5">
        <f>'2180 Cont, DB'!U184</f>
        <v>786923.1657857144</v>
      </c>
    </row>
    <row r="38" spans="1:9">
      <c r="B38" s="5"/>
      <c r="C38" s="5"/>
      <c r="D38" s="5"/>
      <c r="E38" s="5"/>
      <c r="F38" s="5"/>
      <c r="G38" s="5"/>
      <c r="H38" s="5"/>
    </row>
    <row r="39" spans="1:9">
      <c r="A39" t="s">
        <v>795</v>
      </c>
      <c r="B39" s="5">
        <f>'2180 Cont, DB'!N235</f>
        <v>739961.09666666668</v>
      </c>
      <c r="C39" s="5">
        <f>B39-D39</f>
        <v>0</v>
      </c>
      <c r="D39" s="5">
        <f>'2180 Cont, DB'!O235</f>
        <v>739961.09666666668</v>
      </c>
      <c r="E39" s="5">
        <f>'2180 Cont, DB'!R235</f>
        <v>62347.399404761913</v>
      </c>
      <c r="F39" s="5">
        <f>'2180 Cont, DB'!S235</f>
        <v>340423.24495238089</v>
      </c>
      <c r="G39" s="5">
        <f>'2180 Cont, DB'!T235</f>
        <v>402770.64435714291</v>
      </c>
      <c r="H39" s="5">
        <f>'2180 Cont, DB'!U235</f>
        <v>337190.45230952388</v>
      </c>
    </row>
    <row r="40" spans="1:9">
      <c r="B40" s="5"/>
      <c r="C40" s="5"/>
      <c r="D40" s="5"/>
      <c r="E40" s="5"/>
      <c r="F40" s="5"/>
      <c r="G40" s="5"/>
      <c r="H40" s="5"/>
    </row>
    <row r="41" spans="1:9">
      <c r="A41" t="s">
        <v>401</v>
      </c>
      <c r="B41" s="5">
        <f>'2180 Cont, DB'!N398</f>
        <v>3649102.7599999988</v>
      </c>
      <c r="C41" s="5">
        <f>B41-D41</f>
        <v>0</v>
      </c>
      <c r="D41" s="5">
        <f>'2180 Cont, DB'!O398</f>
        <v>3649102.7599999988</v>
      </c>
      <c r="E41" s="5">
        <f>'2180 Cont, DB'!R398</f>
        <v>121788.75856561333</v>
      </c>
      <c r="F41" s="5">
        <f>'2180 Cont, DB'!S398</f>
        <v>2497873.0124999988</v>
      </c>
      <c r="G41" s="5">
        <f>'2180 Cont, DB'!T398</f>
        <v>2619661.7710656133</v>
      </c>
      <c r="H41" s="5">
        <f>'2180 Cont, DB'!U398</f>
        <v>1029440.9889343868</v>
      </c>
    </row>
    <row r="42" spans="1:9">
      <c r="B42" s="5"/>
      <c r="C42" s="5"/>
      <c r="D42" s="5"/>
      <c r="E42" s="5"/>
      <c r="F42" s="5"/>
      <c r="G42" s="5"/>
      <c r="H42" s="5"/>
    </row>
    <row r="43" spans="1:9">
      <c r="A43" t="s">
        <v>402</v>
      </c>
      <c r="B43" s="5">
        <f>'2180 Cont, DB'!N524</f>
        <v>3621764.3630000013</v>
      </c>
      <c r="C43" s="5">
        <f>B43-D43</f>
        <v>0</v>
      </c>
      <c r="D43" s="5">
        <f>'2180 Cont, DB'!O524</f>
        <v>3621764.3630000013</v>
      </c>
      <c r="E43" s="5">
        <f>'2180 Cont, DB'!R524</f>
        <v>332179.52328571427</v>
      </c>
      <c r="F43" s="5">
        <f>'2180 Cont, DB'!S524</f>
        <v>2039820.7088571428</v>
      </c>
      <c r="G43" s="5">
        <f>'2180 Cont, DB'!T524</f>
        <v>2372000.2321428573</v>
      </c>
      <c r="H43" s="5">
        <f>'2180 Cont, DB'!U524</f>
        <v>1249764.1308571433</v>
      </c>
    </row>
    <row r="44" spans="1:9">
      <c r="B44" s="5"/>
      <c r="C44" s="5"/>
      <c r="D44" s="5"/>
      <c r="E44" s="5"/>
      <c r="F44" s="5"/>
      <c r="G44" s="5"/>
      <c r="H44" s="5"/>
    </row>
    <row r="45" spans="1:9">
      <c r="A45" t="s">
        <v>855</v>
      </c>
      <c r="B45" s="5">
        <f>'2180 Cont, DB'!N530</f>
        <v>165208.34</v>
      </c>
      <c r="C45" s="5">
        <f>B45-D45</f>
        <v>0</v>
      </c>
      <c r="D45" s="5">
        <f>'2180 Cont, DB'!O530</f>
        <v>165208.34</v>
      </c>
      <c r="E45" s="5">
        <f>'2180 Cont, DB'!R530</f>
        <v>23601.191428571427</v>
      </c>
      <c r="F45" s="5">
        <f>'2180 Cont, DB'!S530</f>
        <v>69464.014285714278</v>
      </c>
      <c r="G45" s="5">
        <f>'2180 Cont, DB'!T530</f>
        <v>93065.205714285708</v>
      </c>
      <c r="H45" s="5">
        <f>'2180 Cont, DB'!U530</f>
        <v>72143.134285714288</v>
      </c>
    </row>
    <row r="46" spans="1:9">
      <c r="B46" s="5"/>
      <c r="C46" s="5"/>
      <c r="D46" s="5"/>
      <c r="E46" s="5"/>
      <c r="F46" s="5"/>
      <c r="G46" s="5"/>
      <c r="H46" s="5"/>
    </row>
    <row r="47" spans="1:9">
      <c r="A47" t="s">
        <v>403</v>
      </c>
      <c r="B47" s="5">
        <f>'2180 Cont, DB'!N595</f>
        <v>3895081.9499999974</v>
      </c>
      <c r="C47" s="5">
        <f>B47-D47</f>
        <v>0</v>
      </c>
      <c r="D47" s="5">
        <f>'2180 Cont, DB'!O595</f>
        <v>3895081.9499999974</v>
      </c>
      <c r="E47" s="5">
        <f>'2180 Cont, DB'!R595</f>
        <v>157752.72713659148</v>
      </c>
      <c r="F47" s="5">
        <f>'2180 Cont, DB'!S595</f>
        <v>3149756.3185714278</v>
      </c>
      <c r="G47" s="5">
        <f>'2180 Cont, DB'!T595</f>
        <v>3307509.0457080202</v>
      </c>
      <c r="H47" s="5">
        <f>'2180 Cont, DB'!U595</f>
        <v>587572.90429197997</v>
      </c>
    </row>
    <row r="48" spans="1:9">
      <c r="B48" s="5"/>
      <c r="C48" s="5"/>
      <c r="D48" s="5"/>
      <c r="E48" s="5"/>
      <c r="F48" s="5"/>
      <c r="G48" s="5"/>
      <c r="H48" s="5"/>
    </row>
    <row r="49" spans="1:9">
      <c r="A49" t="s">
        <v>441</v>
      </c>
      <c r="B49" s="5">
        <f>'2180 Cont, DB'!N674</f>
        <v>2042077.0599999998</v>
      </c>
      <c r="C49" s="5">
        <f>B49-D49</f>
        <v>0</v>
      </c>
      <c r="D49" s="5">
        <f>'2180 Cont, DB'!O674</f>
        <v>2042077.0599999998</v>
      </c>
      <c r="E49" s="5">
        <f>'2180 Cont, DB'!R674</f>
        <v>172703.26285714284</v>
      </c>
      <c r="F49" s="5">
        <f>'2180 Cont, DB'!S674</f>
        <v>1151873.0971428575</v>
      </c>
      <c r="G49" s="5">
        <f>'2180 Cont, DB'!T674</f>
        <v>1324576.3599999999</v>
      </c>
      <c r="H49" s="5">
        <f>'2180 Cont, DB'!U674</f>
        <v>717500.70000000019</v>
      </c>
    </row>
    <row r="50" spans="1:9">
      <c r="B50" s="5"/>
      <c r="C50" s="5"/>
      <c r="D50" s="5"/>
      <c r="E50" s="5"/>
      <c r="F50" s="5"/>
      <c r="G50" s="5"/>
      <c r="H50" s="5"/>
    </row>
    <row r="51" spans="1:9">
      <c r="A51" t="s">
        <v>699</v>
      </c>
      <c r="B51" s="5">
        <f>'2180 Cont, DB'!N710</f>
        <v>449752.70000000007</v>
      </c>
      <c r="C51" s="5">
        <f>B51-D51</f>
        <v>0</v>
      </c>
      <c r="D51" s="5">
        <f>'2180 Cont, DB'!O710</f>
        <v>449752.70000000007</v>
      </c>
      <c r="E51" s="5">
        <f>'2180 Cont, DB'!R710</f>
        <v>1784.3200000000002</v>
      </c>
      <c r="F51" s="5">
        <f>'2180 Cont, DB'!S710</f>
        <v>440831.10000000003</v>
      </c>
      <c r="G51" s="5">
        <f>'2180 Cont, DB'!T710</f>
        <v>442615.42000000004</v>
      </c>
      <c r="H51" s="5">
        <f>'2180 Cont, DB'!U710</f>
        <v>7137.2800000000007</v>
      </c>
    </row>
    <row r="52" spans="1:9">
      <c r="B52" s="5"/>
      <c r="C52" s="5"/>
      <c r="D52" s="5"/>
      <c r="E52" s="5"/>
      <c r="F52" s="5"/>
      <c r="G52" s="5"/>
      <c r="H52" s="5"/>
    </row>
    <row r="53" spans="1:9">
      <c r="A53" t="s">
        <v>466</v>
      </c>
      <c r="B53" s="5">
        <f>'2180 Cont, DB'!N723</f>
        <v>247823.08</v>
      </c>
      <c r="C53" s="5">
        <f>B53-D53</f>
        <v>0</v>
      </c>
      <c r="D53" s="5">
        <f>'2180 Cont, DB'!O723</f>
        <v>247823.08</v>
      </c>
      <c r="E53" s="5">
        <f>'2180 Cont, DB'!R723</f>
        <v>0</v>
      </c>
      <c r="F53" s="5">
        <f>'2180 Cont, DB'!S723</f>
        <v>247823.08</v>
      </c>
      <c r="G53" s="5">
        <f>'2180 Cont, DB'!T723</f>
        <v>247823.08</v>
      </c>
      <c r="H53" s="5">
        <f>'2180 Cont, DB'!U723</f>
        <v>0</v>
      </c>
    </row>
    <row r="54" spans="1:9">
      <c r="B54" s="5"/>
      <c r="C54" s="5"/>
      <c r="D54" s="5"/>
      <c r="E54" s="5"/>
      <c r="F54" s="5"/>
      <c r="G54" s="5"/>
      <c r="H54" s="5"/>
    </row>
    <row r="55" spans="1:9">
      <c r="A55" s="8" t="s">
        <v>404</v>
      </c>
      <c r="B55" s="9">
        <f>SUM(B37:B54)</f>
        <v>16610512.108666662</v>
      </c>
      <c r="C55" s="9">
        <f t="shared" ref="C55:H55" si="1">SUM(C37:C54)</f>
        <v>0</v>
      </c>
      <c r="D55" s="9">
        <f t="shared" si="1"/>
        <v>16610512.108666662</v>
      </c>
      <c r="E55" s="9">
        <f t="shared" si="1"/>
        <v>1003851.7603926809</v>
      </c>
      <c r="F55" s="9">
        <f t="shared" si="1"/>
        <v>10818987.591809522</v>
      </c>
      <c r="G55" s="9">
        <f t="shared" si="1"/>
        <v>11822839.352202203</v>
      </c>
      <c r="H55" s="9">
        <f t="shared" si="1"/>
        <v>4787672.7564644637</v>
      </c>
      <c r="I55">
        <f>H55-'2180 Cont, DB'!U726</f>
        <v>0</v>
      </c>
    </row>
    <row r="56" spans="1:9">
      <c r="B56" s="5">
        <f>B55-'2180 Cont, DB'!N726</f>
        <v>0</v>
      </c>
      <c r="C56" s="5"/>
      <c r="D56" s="5">
        <f>D55-'2180 Cont, DB'!O726</f>
        <v>0</v>
      </c>
      <c r="E56" s="5">
        <f>E55-'2180 Cont, DB'!R726</f>
        <v>0</v>
      </c>
      <c r="F56" s="5">
        <f>F55-'2180 Cont, DB'!S726</f>
        <v>0</v>
      </c>
      <c r="G56" s="5">
        <f>G55-'2180 Cont, DB'!T726</f>
        <v>0</v>
      </c>
      <c r="H56" s="5">
        <f>H55-'2180 Cont, DB'!U726</f>
        <v>0</v>
      </c>
    </row>
    <row r="57" spans="1:9">
      <c r="B57" s="5"/>
      <c r="C57" s="5"/>
      <c r="D57" s="5"/>
      <c r="E57" s="5"/>
      <c r="F57" s="5"/>
      <c r="G57" s="5"/>
      <c r="H57" s="5"/>
    </row>
    <row r="58" spans="1:9">
      <c r="A58" s="4" t="s">
        <v>395</v>
      </c>
      <c r="B58" s="5"/>
      <c r="C58" s="5"/>
      <c r="D58" s="5"/>
      <c r="E58" s="5"/>
      <c r="F58" s="5"/>
      <c r="G58" s="5"/>
      <c r="H58" s="5"/>
    </row>
    <row r="59" spans="1:9">
      <c r="B59" s="5"/>
      <c r="C59" s="5"/>
      <c r="D59" s="5"/>
      <c r="E59" s="5"/>
      <c r="F59" s="5"/>
      <c r="G59" s="5"/>
      <c r="H59" s="5"/>
    </row>
    <row r="60" spans="1:9">
      <c r="A60" t="s">
        <v>405</v>
      </c>
      <c r="B60" s="5">
        <f>'2180 Other'!N40</f>
        <v>447124.56000000006</v>
      </c>
      <c r="C60" s="5">
        <f>B60-D60</f>
        <v>10512.166335000016</v>
      </c>
      <c r="D60" s="5">
        <f>'2180 Other'!O40</f>
        <v>436612.39366500004</v>
      </c>
      <c r="E60" s="5">
        <f>'2180 Other'!R40</f>
        <v>26781.072499999995</v>
      </c>
      <c r="F60" s="5">
        <f>'2180 Other'!S40</f>
        <v>393996.255</v>
      </c>
      <c r="G60" s="5">
        <f>'2180 Other'!T40</f>
        <v>420777.32749999996</v>
      </c>
      <c r="H60" s="5">
        <f>'2180 Other'!U40</f>
        <v>26347.232500000002</v>
      </c>
    </row>
    <row r="61" spans="1:9">
      <c r="B61" s="5"/>
      <c r="C61" s="5"/>
      <c r="D61" s="5"/>
      <c r="E61" s="5"/>
      <c r="F61" s="5"/>
      <c r="G61" s="5"/>
      <c r="H61" s="5"/>
    </row>
    <row r="62" spans="1:9">
      <c r="A62" t="s">
        <v>406</v>
      </c>
      <c r="B62" s="5">
        <f>'2180 Other'!N60</f>
        <v>332036.98</v>
      </c>
      <c r="C62" s="5">
        <f>B62-D62</f>
        <v>0</v>
      </c>
      <c r="D62" s="5">
        <f>'2180 Other'!O60</f>
        <v>332036.98</v>
      </c>
      <c r="E62" s="5">
        <f>'2180 Other'!R60</f>
        <v>30074.705809523806</v>
      </c>
      <c r="F62" s="5">
        <f>'2180 Other'!S60</f>
        <v>180484.48809523811</v>
      </c>
      <c r="G62" s="5">
        <f>'2180 Other'!T60</f>
        <v>210559.19390476192</v>
      </c>
      <c r="H62" s="5">
        <f>'2180 Other'!U60</f>
        <v>121477.78609523809</v>
      </c>
    </row>
    <row r="63" spans="1:9">
      <c r="B63" s="5"/>
      <c r="C63" s="5"/>
      <c r="D63" s="5"/>
      <c r="E63" s="5"/>
      <c r="F63" s="5"/>
      <c r="G63" s="5"/>
      <c r="H63" s="5"/>
    </row>
    <row r="64" spans="1:9">
      <c r="A64" t="s">
        <v>407</v>
      </c>
      <c r="B64" s="5">
        <f>'2180 Other'!N110</f>
        <v>1042624.0400000004</v>
      </c>
      <c r="C64" s="5">
        <f>B64-D64</f>
        <v>0</v>
      </c>
      <c r="D64" s="5">
        <f>'2180 Other'!O110</f>
        <v>1042624.0400000004</v>
      </c>
      <c r="E64" s="5">
        <f>'2180 Other'!R110</f>
        <v>38023.9015</v>
      </c>
      <c r="F64" s="5">
        <f>'2180 Other'!S110</f>
        <v>940500.42466666689</v>
      </c>
      <c r="G64" s="5">
        <f>'2180 Other'!T110</f>
        <v>978524.32616666728</v>
      </c>
      <c r="H64" s="5">
        <f>'2180 Other'!U110</f>
        <v>64099.713833333335</v>
      </c>
    </row>
    <row r="65" spans="1:9">
      <c r="B65" s="5"/>
      <c r="C65" s="5"/>
      <c r="D65" s="5"/>
      <c r="E65" s="5"/>
      <c r="F65" s="5"/>
      <c r="G65" s="5"/>
      <c r="H65" s="5"/>
    </row>
    <row r="66" spans="1:9">
      <c r="A66" s="8" t="s">
        <v>408</v>
      </c>
      <c r="B66" s="9">
        <f>SUM(B60:B65)</f>
        <v>1821785.5800000005</v>
      </c>
      <c r="C66" s="9">
        <f t="shared" ref="C66:H66" si="2">SUM(C60:C65)</f>
        <v>10512.166335000016</v>
      </c>
      <c r="D66" s="9">
        <f t="shared" si="2"/>
        <v>1811273.4136650003</v>
      </c>
      <c r="E66" s="9">
        <f t="shared" si="2"/>
        <v>94879.679809523805</v>
      </c>
      <c r="F66" s="9">
        <f t="shared" si="2"/>
        <v>1514981.1677619051</v>
      </c>
      <c r="G66" s="9">
        <f t="shared" si="2"/>
        <v>1609860.8475714291</v>
      </c>
      <c r="H66" s="9">
        <f t="shared" si="2"/>
        <v>211924.73242857144</v>
      </c>
    </row>
    <row r="67" spans="1:9">
      <c r="B67" s="5"/>
      <c r="C67" s="5"/>
      <c r="D67" s="5"/>
      <c r="E67" s="5"/>
      <c r="F67" s="5"/>
      <c r="G67" s="5"/>
      <c r="H67" s="5"/>
    </row>
    <row r="68" spans="1:9">
      <c r="A68" s="4" t="s">
        <v>409</v>
      </c>
      <c r="B68" s="5"/>
      <c r="C68" s="5"/>
      <c r="D68" s="5"/>
      <c r="E68" s="5"/>
      <c r="F68" s="5"/>
      <c r="G68" s="5"/>
      <c r="H68" s="5"/>
    </row>
    <row r="69" spans="1:9">
      <c r="B69" s="5"/>
      <c r="C69" s="5"/>
      <c r="D69" s="5"/>
      <c r="E69" s="5"/>
      <c r="F69" s="5"/>
      <c r="G69" s="5"/>
      <c r="H69" s="5"/>
    </row>
    <row r="70" spans="1:9">
      <c r="A70" t="s">
        <v>588</v>
      </c>
      <c r="B70" s="5">
        <f>'2180 Other'!N124</f>
        <v>547397.72000000009</v>
      </c>
      <c r="C70" s="5">
        <f>B70-D70</f>
        <v>0</v>
      </c>
      <c r="D70" s="5">
        <f>'2180 Other'!O124</f>
        <v>547397.72000000009</v>
      </c>
      <c r="E70" s="5">
        <f>'2180 Other'!R124</f>
        <v>29718.06615751921</v>
      </c>
      <c r="F70" s="5">
        <f>'2180 Other'!S124</f>
        <v>282599.03350000002</v>
      </c>
      <c r="G70" s="5">
        <f>'2180 Other'!T124</f>
        <v>312317.09965751925</v>
      </c>
      <c r="H70" s="5">
        <f>'2180 Other'!U124</f>
        <v>235080.62034248078</v>
      </c>
    </row>
    <row r="71" spans="1:9">
      <c r="B71" s="5"/>
      <c r="C71" s="5"/>
      <c r="D71" s="5"/>
      <c r="E71" s="5"/>
      <c r="F71" s="5"/>
      <c r="G71" s="5"/>
      <c r="H71" s="5"/>
    </row>
    <row r="72" spans="1:9">
      <c r="A72" t="s">
        <v>589</v>
      </c>
      <c r="B72" s="5">
        <f>'2180 Other'!N133</f>
        <v>7433998.1899999976</v>
      </c>
      <c r="C72" s="5">
        <f>B72-D72</f>
        <v>0</v>
      </c>
      <c r="D72" s="5">
        <f>'2180 Other'!O133</f>
        <v>7433998.1899999976</v>
      </c>
      <c r="E72" s="5">
        <f>'2180 Other'!R133</f>
        <v>405873.98331503826</v>
      </c>
      <c r="F72" s="5">
        <f>'2180 Other'!S133</f>
        <v>2601899.3664999986</v>
      </c>
      <c r="G72" s="5">
        <f>'2180 Other'!T133</f>
        <v>2973599.2759999987</v>
      </c>
      <c r="H72" s="5">
        <f>'2180 Other'!U133</f>
        <v>4460398.913999998</v>
      </c>
    </row>
    <row r="73" spans="1:9">
      <c r="B73" s="5"/>
      <c r="C73" s="5"/>
      <c r="D73" s="5"/>
      <c r="E73" s="5"/>
      <c r="F73" s="5"/>
      <c r="G73" s="5"/>
      <c r="H73" s="5"/>
    </row>
    <row r="74" spans="1:9">
      <c r="A74" t="s">
        <v>591</v>
      </c>
      <c r="B74" s="5">
        <f>'2180 Other'!N142</f>
        <v>164726.66</v>
      </c>
      <c r="C74" s="5">
        <f>B74-D74</f>
        <v>0</v>
      </c>
      <c r="D74" s="5">
        <f>'2180 Other'!O142</f>
        <v>164726.66</v>
      </c>
      <c r="E74" s="5">
        <f>'2180 Other'!R142</f>
        <v>0</v>
      </c>
      <c r="F74" s="5">
        <f>'2180 Other'!S142</f>
        <v>104522.76999999999</v>
      </c>
      <c r="G74" s="5">
        <f>'2180 Other'!T142</f>
        <v>124728.548</v>
      </c>
      <c r="H74" s="5">
        <f>'2180 Other'!U142</f>
        <v>39998.112000000001</v>
      </c>
    </row>
    <row r="75" spans="1:9">
      <c r="B75" s="5"/>
      <c r="C75" s="5"/>
      <c r="D75" s="5"/>
      <c r="E75" s="5"/>
      <c r="F75" s="5"/>
      <c r="G75" s="5"/>
      <c r="H75" s="5"/>
    </row>
    <row r="76" spans="1:9">
      <c r="A76" t="s">
        <v>410</v>
      </c>
      <c r="B76" s="5">
        <f>'2180 Other'!N144</f>
        <v>9148000</v>
      </c>
      <c r="C76" s="5">
        <v>0</v>
      </c>
      <c r="D76" s="5"/>
      <c r="E76" s="5"/>
      <c r="F76" s="5"/>
      <c r="G76" s="5"/>
      <c r="H76" s="5">
        <f>'2180 Other'!U144</f>
        <v>9148000</v>
      </c>
    </row>
    <row r="77" spans="1:9">
      <c r="B77" s="5"/>
      <c r="C77" s="5"/>
      <c r="D77" s="5"/>
      <c r="E77" s="5"/>
      <c r="F77" s="5"/>
      <c r="G77" s="5"/>
      <c r="H77" s="5"/>
    </row>
    <row r="78" spans="1:9">
      <c r="B78" s="5"/>
      <c r="C78" s="5"/>
      <c r="D78" s="5"/>
      <c r="E78" s="5"/>
      <c r="F78" s="5"/>
      <c r="G78" s="5"/>
      <c r="H78" s="5"/>
    </row>
    <row r="79" spans="1:9">
      <c r="A79" s="8" t="s">
        <v>411</v>
      </c>
      <c r="B79" s="9">
        <f>SUM(B70:B77)</f>
        <v>17294122.569999997</v>
      </c>
      <c r="C79" s="9">
        <f t="shared" ref="C79:H79" si="3">SUM(C70:C77)</f>
        <v>0</v>
      </c>
      <c r="D79" s="9">
        <f t="shared" si="3"/>
        <v>8146122.5699999975</v>
      </c>
      <c r="E79" s="9">
        <f t="shared" si="3"/>
        <v>435592.0494725575</v>
      </c>
      <c r="F79" s="9">
        <f t="shared" si="3"/>
        <v>2989021.1699999985</v>
      </c>
      <c r="G79" s="9">
        <f t="shared" si="3"/>
        <v>3410644.9236575179</v>
      </c>
      <c r="H79" s="9">
        <f t="shared" si="3"/>
        <v>13883477.646342479</v>
      </c>
      <c r="I79">
        <f>H79+H66-'2180 Other'!U146</f>
        <v>0</v>
      </c>
    </row>
    <row r="80" spans="1:9">
      <c r="B80" s="5">
        <f>B79+B66-'2180 Other'!N146</f>
        <v>0</v>
      </c>
      <c r="C80" s="5"/>
      <c r="D80" s="5">
        <f>D79+D66-'2180 Other'!O146</f>
        <v>0</v>
      </c>
      <c r="E80" s="5">
        <f>E79+E66-'2180 Other'!R146</f>
        <v>0</v>
      </c>
      <c r="F80" s="5">
        <f>F79+F66-'2180 Other'!S146</f>
        <v>0</v>
      </c>
      <c r="G80" s="5">
        <f>G79+G66-'2180 Other'!T146</f>
        <v>0</v>
      </c>
      <c r="H80" s="5">
        <f>H79+H66-'2180 Other'!U146</f>
        <v>0</v>
      </c>
    </row>
    <row r="81" spans="1:8" ht="15.75" thickBot="1">
      <c r="A81" s="10" t="s">
        <v>6</v>
      </c>
      <c r="B81" s="11">
        <f>B79+B66+B55+B34</f>
        <v>67189521.054380953</v>
      </c>
      <c r="C81" s="11">
        <f t="shared" ref="C81:G81" si="4">C79+C66+C55+C34</f>
        <v>133350.69493499902</v>
      </c>
      <c r="D81" s="11">
        <f t="shared" si="4"/>
        <v>57908170.359445952</v>
      </c>
      <c r="E81" s="11">
        <f>E79+E66+E55+E34</f>
        <v>4556929.7535374593</v>
      </c>
      <c r="F81" s="11">
        <f t="shared" si="4"/>
        <v>24586249.441519044</v>
      </c>
      <c r="G81" s="11">
        <f t="shared" si="4"/>
        <v>29029645.848574795</v>
      </c>
      <c r="H81" s="11">
        <f>H79+H66+H55+H34</f>
        <v>38166667.372472823</v>
      </c>
    </row>
    <row r="82" spans="1:8">
      <c r="B82" s="5">
        <f>B81-'2180 Trucks'!N354-'2180 Cont, DB'!N726-'2180 Other'!N146</f>
        <v>0</v>
      </c>
      <c r="C82" s="5"/>
      <c r="D82" s="5">
        <f>D81-'2180 Trucks'!O354-'2180 Cont, DB'!O726-'2180 Other'!O146</f>
        <v>0</v>
      </c>
      <c r="E82" s="5"/>
      <c r="F82" s="5"/>
      <c r="G82" s="5"/>
      <c r="H82" s="5">
        <f>H81-'2180 Trucks'!U354-'2180 Cont, DB'!U726-'2180 Other'!U146</f>
        <v>0</v>
      </c>
    </row>
    <row r="83" spans="1:8">
      <c r="B83" s="5"/>
      <c r="C83" s="5"/>
      <c r="D83" s="5"/>
      <c r="E83" s="5"/>
      <c r="F83" s="5"/>
      <c r="G83" s="5"/>
      <c r="H83" s="5"/>
    </row>
    <row r="94" spans="1:8">
      <c r="A94" s="63" t="s">
        <v>412</v>
      </c>
      <c r="B94" s="63"/>
      <c r="C94" s="63"/>
      <c r="D94" s="63"/>
      <c r="E94" s="63"/>
    </row>
    <row r="96" spans="1:8">
      <c r="A96" t="s">
        <v>413</v>
      </c>
      <c r="B96" t="s">
        <v>414</v>
      </c>
      <c r="C96" t="s">
        <v>415</v>
      </c>
      <c r="D96" t="s">
        <v>416</v>
      </c>
      <c r="E96" t="s">
        <v>417</v>
      </c>
    </row>
    <row r="98" spans="1:6">
      <c r="A98">
        <v>40543</v>
      </c>
      <c r="B98" t="s">
        <v>418</v>
      </c>
      <c r="C98">
        <v>215463.51</v>
      </c>
      <c r="D98">
        <v>215463.51</v>
      </c>
      <c r="E98">
        <f>C98-D98</f>
        <v>0</v>
      </c>
    </row>
    <row r="99" spans="1:6">
      <c r="A99" t="s">
        <v>533</v>
      </c>
      <c r="B99" t="s">
        <v>418</v>
      </c>
      <c r="C99">
        <f>8336171.52+2133.77+23372.76</f>
        <v>8361678.0499999989</v>
      </c>
      <c r="D99">
        <v>8361678.0499999998</v>
      </c>
      <c r="E99">
        <f>C99-D99</f>
        <v>0</v>
      </c>
    </row>
    <row r="100" spans="1:6">
      <c r="A100" t="s">
        <v>614</v>
      </c>
      <c r="B100" t="s">
        <v>418</v>
      </c>
      <c r="C100">
        <v>439319.28</v>
      </c>
      <c r="D100">
        <f>SUM('2180 Trucks'!N160:N162,'2180 Cont, DB'!N109:N113,'2180 Cont, DB'!N539:N540,'2180 Cont, DB'!N617:N1161,'2180 Other'!N71:N73)</f>
        <v>25990271.054000042</v>
      </c>
      <c r="E100">
        <f>C100-D100</f>
        <v>-25550951.774000041</v>
      </c>
      <c r="F100" t="s">
        <v>620</v>
      </c>
    </row>
    <row r="101" spans="1:6">
      <c r="A101" t="s">
        <v>615</v>
      </c>
    </row>
    <row r="102" spans="1:6">
      <c r="A102" t="s">
        <v>622</v>
      </c>
      <c r="B102" t="s">
        <v>418</v>
      </c>
      <c r="C102">
        <v>0</v>
      </c>
      <c r="D102">
        <v>29237.14</v>
      </c>
      <c r="E102">
        <f>C102-D102</f>
        <v>-29237.14</v>
      </c>
      <c r="F102" t="s">
        <v>628</v>
      </c>
    </row>
    <row r="103" spans="1:6">
      <c r="A103" t="s">
        <v>627</v>
      </c>
      <c r="B103" t="s">
        <v>418</v>
      </c>
      <c r="C103">
        <f>284405.57+23417</f>
        <v>307822.57</v>
      </c>
      <c r="D103">
        <f>284405.57+23417</f>
        <v>307822.57</v>
      </c>
      <c r="E103">
        <f>C103-D103</f>
        <v>0</v>
      </c>
      <c r="F103" t="s">
        <v>630</v>
      </c>
    </row>
    <row r="104" spans="1:6">
      <c r="A104" t="s">
        <v>660</v>
      </c>
      <c r="B104" t="s">
        <v>661</v>
      </c>
      <c r="C104">
        <v>1741396.86</v>
      </c>
      <c r="D104">
        <v>1741396.86</v>
      </c>
      <c r="E104">
        <f>C104-D104</f>
        <v>0</v>
      </c>
    </row>
    <row r="105" spans="1:6">
      <c r="A105" t="s">
        <v>674</v>
      </c>
      <c r="B105" t="s">
        <v>675</v>
      </c>
      <c r="C105">
        <v>397573.79</v>
      </c>
      <c r="D105">
        <v>395168.86</v>
      </c>
      <c r="E105">
        <f>C105-D105</f>
        <v>2404.929999999993</v>
      </c>
      <c r="F105" t="s">
        <v>676</v>
      </c>
    </row>
    <row r="106" spans="1:6">
      <c r="A106" t="s">
        <v>696</v>
      </c>
      <c r="B106" t="s">
        <v>697</v>
      </c>
      <c r="C106">
        <v>1835925.44</v>
      </c>
      <c r="D106">
        <v>1835925.4400000002</v>
      </c>
      <c r="E106">
        <f>C106-D106</f>
        <v>0</v>
      </c>
    </row>
    <row r="108" spans="1:6">
      <c r="A108" t="s">
        <v>744</v>
      </c>
      <c r="B108" t="s">
        <v>745</v>
      </c>
      <c r="C108">
        <v>2997268.96</v>
      </c>
      <c r="D108">
        <v>2997268.96</v>
      </c>
      <c r="E108">
        <f>C108-D108</f>
        <v>0</v>
      </c>
    </row>
    <row r="110" spans="1:6">
      <c r="A110" t="s">
        <v>767</v>
      </c>
      <c r="B110" t="s">
        <v>697</v>
      </c>
      <c r="C110">
        <v>1265112.3799999999</v>
      </c>
      <c r="D110">
        <v>1265112.3799999999</v>
      </c>
      <c r="E110">
        <f>C110-D110</f>
        <v>0</v>
      </c>
    </row>
    <row r="112" spans="1:6">
      <c r="A112" t="s">
        <v>801</v>
      </c>
      <c r="B112" t="s">
        <v>697</v>
      </c>
      <c r="C112">
        <v>889658.47</v>
      </c>
      <c r="D112">
        <v>889658.47000000009</v>
      </c>
      <c r="E112">
        <f>C112-D112</f>
        <v>0</v>
      </c>
    </row>
    <row r="113" spans="1:8">
      <c r="A113" t="s">
        <v>804</v>
      </c>
      <c r="B113" t="s">
        <v>745</v>
      </c>
      <c r="C113">
        <f>'[1]2180'!$R$686</f>
        <v>1197082.69</v>
      </c>
      <c r="D113">
        <v>1197082.69</v>
      </c>
      <c r="E113">
        <f>C113-D113</f>
        <v>0</v>
      </c>
    </row>
    <row r="114" spans="1:8">
      <c r="A114" t="s">
        <v>813</v>
      </c>
      <c r="B114" t="s">
        <v>745</v>
      </c>
      <c r="C114">
        <v>2266773.0199999996</v>
      </c>
      <c r="D114">
        <v>2266773.02</v>
      </c>
      <c r="E114">
        <f>C114-D114</f>
        <v>0</v>
      </c>
    </row>
    <row r="115" spans="1:8">
      <c r="A115" t="s">
        <v>846</v>
      </c>
      <c r="B115" t="s">
        <v>847</v>
      </c>
      <c r="C115">
        <v>1018385.24</v>
      </c>
      <c r="D115">
        <f>+SUM('2180 Trucks'!N348:N348,'2180 Cont, DB'!N167:N957,'2180 Cont, DB'!N357:N359,'2180 Cont, DB'!N487:N498,'2180 Cont, DB'!N580:N581,'2180 Cont, DB'!N654:N657,'2180 Other'!N96:N97)</f>
        <v>50035373.930333309</v>
      </c>
      <c r="E115">
        <f>C115-D115</f>
        <v>-49016988.690333307</v>
      </c>
    </row>
    <row r="117" spans="1:8">
      <c r="A117" t="s">
        <v>879</v>
      </c>
      <c r="B117" t="s">
        <v>880</v>
      </c>
      <c r="C117">
        <f>3064955.3-46500</f>
        <v>3018455.3</v>
      </c>
      <c r="D117">
        <v>3018455.3</v>
      </c>
      <c r="E117">
        <f>C117-D117</f>
        <v>0</v>
      </c>
    </row>
    <row r="118" spans="1:8">
      <c r="A118" t="s">
        <v>908</v>
      </c>
      <c r="B118" t="s">
        <v>880</v>
      </c>
      <c r="C118">
        <v>3708859.73</v>
      </c>
      <c r="D118">
        <v>3708859.7299999995</v>
      </c>
      <c r="E118">
        <f>C118-D118</f>
        <v>0</v>
      </c>
    </row>
    <row r="120" spans="1:8">
      <c r="A120" t="s">
        <v>1036</v>
      </c>
      <c r="B120" t="s">
        <v>951</v>
      </c>
      <c r="C120">
        <v>1764321.4199999992</v>
      </c>
      <c r="D120">
        <v>1764321.419999999</v>
      </c>
      <c r="E120">
        <f>C120-D120</f>
        <v>0</v>
      </c>
    </row>
    <row r="122" spans="1:8">
      <c r="A122" t="s">
        <v>1041</v>
      </c>
      <c r="B122" t="s">
        <v>951</v>
      </c>
      <c r="E122">
        <f>C122-D122</f>
        <v>0</v>
      </c>
    </row>
    <row r="123" spans="1:8">
      <c r="F123" t="s">
        <v>420</v>
      </c>
      <c r="G123" t="s">
        <v>1125</v>
      </c>
    </row>
    <row r="124" spans="1:8">
      <c r="A124" t="s">
        <v>1121</v>
      </c>
      <c r="B124" t="s">
        <v>880</v>
      </c>
      <c r="C124">
        <v>1751901.74</v>
      </c>
      <c r="D124" t="e">
        <f>+SUM('2180 Trucks'!N78:N78,'2180 Trucks'!N455:N457,'2180 Trucks'!#REF!,'2180 Cont, DB'!N177:N177,'2180 Cont, DB'!N391:N394,'2180 Cont, DB'!N516:N519,'2180 Cont, DB'!N590:N592,'2180 Cont, DB'!N669:N670,'2180 Other'!N106:N107,'2180 Other'!N121:N122,'2180 Other'!N140)</f>
        <v>#REF!</v>
      </c>
      <c r="E124" t="e">
        <f>C124-D124</f>
        <v>#REF!</v>
      </c>
      <c r="F124">
        <v>11499.21</v>
      </c>
      <c r="G124">
        <v>15660.75</v>
      </c>
      <c r="H124" t="e">
        <f>+E124-F124-G124</f>
        <v>#REF!</v>
      </c>
    </row>
  </sheetData>
  <mergeCells count="1">
    <mergeCell ref="A94:E94"/>
  </mergeCells>
  <phoneticPr fontId="0" type="noConversion"/>
  <pageMargins left="0.7" right="0.7" top="0.75" bottom="0.75" header="0.3" footer="0.3"/>
  <pageSetup scale="5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96"/>
  <sheetViews>
    <sheetView showGridLines="0" tabSelected="1" view="pageBreakPreview" zoomScale="60" zoomScaleNormal="85" workbookViewId="0">
      <pane xSplit="6" ySplit="11" topLeftCell="G327" activePane="bottomRight" state="frozen"/>
      <selection activeCell="P20" sqref="P20"/>
      <selection pane="topRight" activeCell="P20" sqref="P20"/>
      <selection pane="bottomLeft" activeCell="P20" sqref="P20"/>
      <selection pane="bottomRight" activeCell="P20" sqref="P20"/>
    </sheetView>
  </sheetViews>
  <sheetFormatPr defaultRowHeight="15" outlineLevelRow="1"/>
  <cols>
    <col min="1" max="1" width="8.28515625" customWidth="1"/>
    <col min="2" max="2" width="6" customWidth="1"/>
    <col min="3" max="3" width="8.5703125" customWidth="1"/>
    <col min="4" max="4" width="51.140625" customWidth="1"/>
    <col min="5" max="6" width="9.42578125" customWidth="1"/>
    <col min="7" max="8" width="6.85546875" customWidth="1"/>
    <col min="9" max="10" width="7.85546875" customWidth="1"/>
    <col min="11" max="11" width="8.28515625" customWidth="1"/>
    <col min="12" max="12" width="10.42578125" customWidth="1"/>
    <col min="13" max="13" width="10.7109375" style="27" customWidth="1"/>
    <col min="14" max="14" width="12.42578125" customWidth="1"/>
    <col min="15" max="22" width="13.7109375" customWidth="1"/>
    <col min="23" max="23" width="8" customWidth="1"/>
    <col min="24" max="24" width="3.140625" customWidth="1"/>
  </cols>
  <sheetData>
    <row r="1" spans="1:21">
      <c r="A1" s="50" t="str">
        <f>'2180 Summary'!A1</f>
        <v>Pierce County Refuse</v>
      </c>
      <c r="D1" s="52" t="s">
        <v>954</v>
      </c>
      <c r="J1" s="24" t="s">
        <v>1191</v>
      </c>
      <c r="K1" s="26"/>
      <c r="R1" s="38">
        <f>'2180 Summary'!F6</f>
        <v>43435</v>
      </c>
      <c r="S1" t="s">
        <v>5</v>
      </c>
    </row>
    <row r="2" spans="1:21">
      <c r="A2" s="50" t="s">
        <v>1146</v>
      </c>
      <c r="D2" s="52" t="s">
        <v>955</v>
      </c>
      <c r="J2" s="39" t="s">
        <v>1193</v>
      </c>
      <c r="K2" s="39"/>
      <c r="O2">
        <v>3</v>
      </c>
      <c r="P2" t="s">
        <v>1093</v>
      </c>
      <c r="R2" s="38">
        <f>A3</f>
        <v>43799</v>
      </c>
      <c r="S2" t="s">
        <v>3</v>
      </c>
    </row>
    <row r="3" spans="1:21">
      <c r="A3" s="65">
        <f>'2180 Summary'!A3</f>
        <v>43799</v>
      </c>
      <c r="B3" s="65"/>
      <c r="J3" s="53" t="s">
        <v>1192</v>
      </c>
      <c r="K3" s="53"/>
      <c r="O3">
        <v>2018</v>
      </c>
      <c r="P3" t="s">
        <v>1095</v>
      </c>
    </row>
    <row r="4" spans="1:21" outlineLevel="1">
      <c r="O4">
        <v>2019</v>
      </c>
      <c r="P4" t="s">
        <v>1094</v>
      </c>
    </row>
    <row r="5" spans="1:21" outlineLevel="1">
      <c r="O5">
        <f>O4+(O2/12)</f>
        <v>2019.25</v>
      </c>
      <c r="P5" t="s">
        <v>1040</v>
      </c>
    </row>
    <row r="6" spans="1:21" ht="15" customHeight="1" outlineLevel="1"/>
    <row r="7" spans="1:21" ht="12.75" customHeight="1" outlineLevel="1"/>
    <row r="8" spans="1:21" s="33" customFormat="1" outlineLevel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7"/>
      <c r="N8" s="66"/>
      <c r="O8" s="66"/>
      <c r="P8" s="66"/>
      <c r="Q8" s="66"/>
      <c r="R8" s="66"/>
      <c r="S8" s="66" t="s">
        <v>7</v>
      </c>
      <c r="T8" s="66" t="s">
        <v>8</v>
      </c>
      <c r="U8" s="66"/>
    </row>
    <row r="9" spans="1:21" s="33" customFormat="1">
      <c r="A9" s="66"/>
      <c r="B9" s="66"/>
      <c r="C9" s="66"/>
      <c r="D9" s="66"/>
      <c r="E9" s="66"/>
      <c r="F9" s="66"/>
      <c r="G9" s="68" t="s">
        <v>16</v>
      </c>
      <c r="H9" s="68"/>
      <c r="I9" s="66" t="s">
        <v>11</v>
      </c>
      <c r="J9" s="66"/>
      <c r="K9" s="66"/>
      <c r="L9" s="66" t="s">
        <v>9</v>
      </c>
      <c r="M9" s="67" t="s">
        <v>949</v>
      </c>
      <c r="N9" s="66"/>
      <c r="O9" s="66"/>
      <c r="P9" s="66"/>
      <c r="Q9" s="66"/>
      <c r="R9" s="66"/>
      <c r="S9" s="66" t="s">
        <v>19</v>
      </c>
      <c r="T9" s="66" t="s">
        <v>19</v>
      </c>
      <c r="U9" s="66"/>
    </row>
    <row r="10" spans="1:21" s="33" customFormat="1">
      <c r="A10" s="66"/>
      <c r="B10" s="66"/>
      <c r="C10" s="66"/>
      <c r="D10" s="66"/>
      <c r="E10" s="66"/>
      <c r="F10" s="66"/>
      <c r="G10" s="68" t="s">
        <v>23</v>
      </c>
      <c r="H10" s="68"/>
      <c r="I10" s="66" t="s">
        <v>17</v>
      </c>
      <c r="J10" s="66"/>
      <c r="K10" s="66" t="s">
        <v>13</v>
      </c>
      <c r="L10" s="66" t="s">
        <v>27</v>
      </c>
      <c r="M10" s="67" t="s">
        <v>27</v>
      </c>
      <c r="N10" s="66" t="s">
        <v>18</v>
      </c>
      <c r="O10" s="66" t="s">
        <v>14</v>
      </c>
      <c r="P10" s="66" t="s">
        <v>28</v>
      </c>
      <c r="Q10" s="66" t="s">
        <v>947</v>
      </c>
      <c r="R10" s="66" t="s">
        <v>396</v>
      </c>
      <c r="S10" s="66" t="s">
        <v>14</v>
      </c>
      <c r="T10" s="66" t="s">
        <v>14</v>
      </c>
      <c r="U10" s="66" t="s">
        <v>20</v>
      </c>
    </row>
    <row r="11" spans="1:21" s="33" customFormat="1">
      <c r="A11" s="69" t="s">
        <v>340</v>
      </c>
      <c r="B11" s="69" t="s">
        <v>21</v>
      </c>
      <c r="C11" s="69" t="s">
        <v>335</v>
      </c>
      <c r="D11" s="69" t="s">
        <v>22</v>
      </c>
      <c r="E11" s="69" t="s">
        <v>337</v>
      </c>
      <c r="F11" s="69" t="s">
        <v>369</v>
      </c>
      <c r="G11" s="69" t="s">
        <v>9</v>
      </c>
      <c r="H11" s="69" t="s">
        <v>10</v>
      </c>
      <c r="I11" s="69" t="s">
        <v>24</v>
      </c>
      <c r="J11" s="69" t="s">
        <v>25</v>
      </c>
      <c r="K11" s="69" t="s">
        <v>26</v>
      </c>
      <c r="L11" s="69" t="s">
        <v>338</v>
      </c>
      <c r="M11" s="70" t="s">
        <v>338</v>
      </c>
      <c r="N11" s="69" t="s">
        <v>15</v>
      </c>
      <c r="O11" s="69" t="s">
        <v>15</v>
      </c>
      <c r="P11" s="69" t="s">
        <v>948</v>
      </c>
      <c r="Q11" s="69" t="s">
        <v>948</v>
      </c>
      <c r="R11" s="69" t="s">
        <v>948</v>
      </c>
      <c r="S11" s="71">
        <v>43344</v>
      </c>
      <c r="T11" s="71">
        <v>43708</v>
      </c>
      <c r="U11" s="69" t="s">
        <v>29</v>
      </c>
    </row>
    <row r="13" spans="1:21">
      <c r="B13" s="4" t="s">
        <v>1189</v>
      </c>
    </row>
    <row r="14" spans="1:21">
      <c r="A14" t="s">
        <v>34</v>
      </c>
      <c r="B14" t="s">
        <v>341</v>
      </c>
      <c r="D14" t="s">
        <v>165</v>
      </c>
      <c r="G14">
        <v>1993</v>
      </c>
      <c r="H14">
        <v>6</v>
      </c>
      <c r="I14">
        <v>0</v>
      </c>
      <c r="J14" t="s">
        <v>30</v>
      </c>
      <c r="K14">
        <v>5</v>
      </c>
      <c r="L14">
        <f t="shared" ref="L14:L33" si="0">G14+K14</f>
        <v>1998</v>
      </c>
      <c r="M14" s="27">
        <f>+L14+(H14/12)</f>
        <v>1998.5</v>
      </c>
      <c r="N14" s="5">
        <v>3719</v>
      </c>
      <c r="O14" s="5">
        <f t="shared" ref="O14:O33" si="1">N14-N14*I14</f>
        <v>3719</v>
      </c>
      <c r="P14" s="5">
        <f t="shared" ref="P14:P33" si="2">O14/K14/12</f>
        <v>61.983333333333327</v>
      </c>
      <c r="Q14" s="5">
        <f>P14*12</f>
        <v>743.8</v>
      </c>
      <c r="R14" s="5">
        <f>+IF(M14&lt;=$O$5,0,IF(L14&gt;$O$4,Q14,(P14*H14)))</f>
        <v>0</v>
      </c>
      <c r="S14" s="5">
        <f>+IF(R14=0,N14,IF($O$3-G14&lt;1,0,(($O$3-G14)*Q14)))</f>
        <v>3719</v>
      </c>
      <c r="T14" s="5">
        <f>+IF(R14=0,S14,S14+R14)</f>
        <v>3719</v>
      </c>
      <c r="U14" s="5">
        <f>+N14-T14</f>
        <v>0</v>
      </c>
    </row>
    <row r="15" spans="1:21">
      <c r="B15" t="s">
        <v>341</v>
      </c>
      <c r="C15">
        <v>1034</v>
      </c>
      <c r="D15" t="s">
        <v>37</v>
      </c>
      <c r="G15">
        <v>2002</v>
      </c>
      <c r="H15">
        <v>6</v>
      </c>
      <c r="I15">
        <v>0</v>
      </c>
      <c r="J15" t="s">
        <v>30</v>
      </c>
      <c r="K15">
        <v>7</v>
      </c>
      <c r="L15">
        <f>G15+K15</f>
        <v>2009</v>
      </c>
      <c r="M15" s="27">
        <f>+L15+(H15/12)</f>
        <v>2009.5</v>
      </c>
      <c r="N15" s="5">
        <f>'2180 Trucks - Orig.'!O20</f>
        <v>81506</v>
      </c>
      <c r="O15" s="5">
        <f>N15-N15*I15</f>
        <v>81506</v>
      </c>
      <c r="P15" s="5">
        <f>O15/K15/12</f>
        <v>970.30952380952385</v>
      </c>
      <c r="Q15" s="5">
        <f>P15*12</f>
        <v>11643.714285714286</v>
      </c>
      <c r="R15" s="5">
        <f t="shared" ref="R15:R33" si="3">+IF(M15&lt;=$O$5,0,IF(L15&gt;$O$4,Q15,(P15*H15)))</f>
        <v>0</v>
      </c>
      <c r="S15" s="5">
        <f t="shared" ref="S15:S33" si="4">+IF(R15=0,N15,IF($O$3-G15&lt;1,0,(($O$3-G15)*Q15)))</f>
        <v>81506</v>
      </c>
      <c r="T15" s="5">
        <f t="shared" ref="T15:T33" si="5">+IF(R15=0,S15,S15+R15)</f>
        <v>81506</v>
      </c>
      <c r="U15" s="5">
        <f t="shared" ref="U15:U33" si="6">+N15-T15</f>
        <v>0</v>
      </c>
    </row>
    <row r="16" spans="1:21" s="26" customFormat="1">
      <c r="A16" s="24"/>
      <c r="B16" s="24"/>
      <c r="C16" s="24"/>
      <c r="D16" s="24" t="s">
        <v>960</v>
      </c>
      <c r="E16" s="24"/>
      <c r="F16" s="24"/>
      <c r="G16" s="24">
        <v>2018</v>
      </c>
      <c r="H16" s="24">
        <v>12</v>
      </c>
      <c r="I16" s="24">
        <v>0</v>
      </c>
      <c r="J16" s="24" t="s">
        <v>30</v>
      </c>
      <c r="K16" s="24">
        <f>+IF(L15-$O$3&gt;=3,L15-$O$3,3)</f>
        <v>3</v>
      </c>
      <c r="L16" s="24">
        <f>G16+K16</f>
        <v>2021</v>
      </c>
      <c r="M16" s="28">
        <f>+L16+(H16/12)</f>
        <v>2022</v>
      </c>
      <c r="N16" s="25">
        <f>'2180 Trucks - Orig.'!N20-'2180 Trucks'!N15</f>
        <v>20376.5</v>
      </c>
      <c r="O16" s="25">
        <f>N16-N16*I16</f>
        <v>20376.5</v>
      </c>
      <c r="P16" s="25">
        <f>O16/K16/12</f>
        <v>566.01388888888891</v>
      </c>
      <c r="Q16" s="25">
        <f>P16*12</f>
        <v>6792.166666666667</v>
      </c>
      <c r="R16" s="25">
        <f t="shared" si="3"/>
        <v>6792.166666666667</v>
      </c>
      <c r="S16" s="25">
        <f t="shared" si="4"/>
        <v>0</v>
      </c>
      <c r="T16" s="25">
        <f t="shared" si="5"/>
        <v>6792.166666666667</v>
      </c>
      <c r="U16" s="25">
        <f>+N16-S16</f>
        <v>20376.5</v>
      </c>
    </row>
    <row r="17" spans="1:21">
      <c r="A17" t="s">
        <v>34</v>
      </c>
      <c r="C17">
        <v>11085</v>
      </c>
      <c r="D17" t="s">
        <v>33</v>
      </c>
      <c r="G17">
        <v>2004</v>
      </c>
      <c r="H17">
        <v>12</v>
      </c>
      <c r="I17">
        <v>0</v>
      </c>
      <c r="J17" t="s">
        <v>30</v>
      </c>
      <c r="K17">
        <v>5</v>
      </c>
      <c r="L17">
        <f t="shared" si="0"/>
        <v>2009</v>
      </c>
      <c r="M17" s="27">
        <f t="shared" ref="M17:M39" si="7">+L17+(H17/12)</f>
        <v>2010</v>
      </c>
      <c r="N17" s="5">
        <f>'2180 Trucks - Orig.'!O22</f>
        <v>61840.104000000007</v>
      </c>
      <c r="O17" s="5">
        <f t="shared" si="1"/>
        <v>61840.104000000007</v>
      </c>
      <c r="P17" s="5">
        <f t="shared" si="2"/>
        <v>1030.6684000000002</v>
      </c>
      <c r="Q17" s="5">
        <f t="shared" ref="Q17:Q39" si="8">P17*12</f>
        <v>12368.020800000002</v>
      </c>
      <c r="R17" s="5">
        <f t="shared" si="3"/>
        <v>0</v>
      </c>
      <c r="S17" s="5">
        <f t="shared" si="4"/>
        <v>61840.104000000007</v>
      </c>
      <c r="T17" s="5">
        <f t="shared" si="5"/>
        <v>61840.104000000007</v>
      </c>
      <c r="U17" s="5">
        <f t="shared" si="6"/>
        <v>0</v>
      </c>
    </row>
    <row r="18" spans="1:21" s="26" customFormat="1">
      <c r="A18" s="24"/>
      <c r="B18" s="24"/>
      <c r="C18" s="24"/>
      <c r="D18" s="24" t="s">
        <v>962</v>
      </c>
      <c r="E18" s="24"/>
      <c r="F18" s="24"/>
      <c r="G18" s="24">
        <v>2018</v>
      </c>
      <c r="H18" s="24">
        <v>12</v>
      </c>
      <c r="I18" s="24">
        <v>0</v>
      </c>
      <c r="J18" s="24" t="s">
        <v>30</v>
      </c>
      <c r="K18" s="24">
        <f>+IF(L17-$O$3&gt;=3,L17-$O$3,3)</f>
        <v>3</v>
      </c>
      <c r="L18" s="24">
        <f>G18+K18</f>
        <v>2021</v>
      </c>
      <c r="M18" s="28">
        <f>+L18+(H18/12)</f>
        <v>2022</v>
      </c>
      <c r="N18" s="25">
        <f>'2180 Trucks - Orig.'!N22-'2180 Trucks'!N17</f>
        <v>15460.025999999998</v>
      </c>
      <c r="O18" s="25">
        <f>N18-N18*I18</f>
        <v>15460.025999999998</v>
      </c>
      <c r="P18" s="25">
        <f>O18/K18/12</f>
        <v>429.44516666666664</v>
      </c>
      <c r="Q18" s="25">
        <f>P18*12</f>
        <v>5153.3419999999996</v>
      </c>
      <c r="R18" s="25">
        <f t="shared" si="3"/>
        <v>5153.3419999999996</v>
      </c>
      <c r="S18" s="25">
        <f t="shared" si="4"/>
        <v>0</v>
      </c>
      <c r="T18" s="25">
        <f t="shared" si="5"/>
        <v>5153.3419999999996</v>
      </c>
      <c r="U18" s="25">
        <f t="shared" si="6"/>
        <v>10306.683999999997</v>
      </c>
    </row>
    <row r="19" spans="1:21">
      <c r="A19" t="s">
        <v>34</v>
      </c>
      <c r="B19" t="s">
        <v>341</v>
      </c>
      <c r="C19">
        <v>1048</v>
      </c>
      <c r="D19" t="s">
        <v>775</v>
      </c>
      <c r="G19">
        <v>2006</v>
      </c>
      <c r="H19">
        <v>11</v>
      </c>
      <c r="I19">
        <v>0</v>
      </c>
      <c r="J19" t="s">
        <v>30</v>
      </c>
      <c r="K19">
        <v>7</v>
      </c>
      <c r="L19">
        <f>G19+K19</f>
        <v>2013</v>
      </c>
      <c r="M19" s="27">
        <f t="shared" si="7"/>
        <v>2013.9166666666667</v>
      </c>
      <c r="N19" s="5">
        <f>'2180 Trucks - Orig.'!O30</f>
        <v>101297.152</v>
      </c>
      <c r="O19" s="5">
        <f t="shared" si="1"/>
        <v>101297.152</v>
      </c>
      <c r="P19" s="5">
        <f t="shared" si="2"/>
        <v>1205.9184761904762</v>
      </c>
      <c r="Q19" s="5">
        <f t="shared" si="8"/>
        <v>14471.021714285715</v>
      </c>
      <c r="R19" s="5">
        <f t="shared" si="3"/>
        <v>0</v>
      </c>
      <c r="S19" s="5">
        <f t="shared" si="4"/>
        <v>101297.152</v>
      </c>
      <c r="T19" s="5">
        <f t="shared" si="5"/>
        <v>101297.152</v>
      </c>
      <c r="U19" s="5">
        <f t="shared" si="6"/>
        <v>0</v>
      </c>
    </row>
    <row r="20" spans="1:21" s="26" customFormat="1">
      <c r="A20" s="24"/>
      <c r="B20" s="24"/>
      <c r="C20" s="24"/>
      <c r="D20" s="24" t="s">
        <v>969</v>
      </c>
      <c r="E20" s="24"/>
      <c r="F20" s="24"/>
      <c r="G20" s="24">
        <v>2018</v>
      </c>
      <c r="H20" s="24">
        <v>12</v>
      </c>
      <c r="I20" s="24">
        <v>0</v>
      </c>
      <c r="J20" s="24" t="s">
        <v>30</v>
      </c>
      <c r="K20" s="24">
        <f>+IF(L19-$O$3&gt;=3,L19-$O$3,3)</f>
        <v>3</v>
      </c>
      <c r="L20" s="24">
        <f>G20+K20</f>
        <v>2021</v>
      </c>
      <c r="M20" s="28">
        <f>+L20+(H20/12)</f>
        <v>2022</v>
      </c>
      <c r="N20" s="25">
        <f>'2180 Trucks - Orig.'!N30-'2180 Trucks'!N19</f>
        <v>25324.288</v>
      </c>
      <c r="O20" s="25">
        <f>N20-N20*I20</f>
        <v>25324.288</v>
      </c>
      <c r="P20" s="25">
        <f>O20/K20/12</f>
        <v>703.4524444444445</v>
      </c>
      <c r="Q20" s="25">
        <f>P20*12</f>
        <v>8441.4293333333335</v>
      </c>
      <c r="R20" s="25">
        <f t="shared" si="3"/>
        <v>8441.4293333333335</v>
      </c>
      <c r="S20" s="25">
        <f t="shared" si="4"/>
        <v>0</v>
      </c>
      <c r="T20" s="25">
        <f t="shared" si="5"/>
        <v>8441.4293333333335</v>
      </c>
      <c r="U20" s="25">
        <f t="shared" si="6"/>
        <v>16882.858666666667</v>
      </c>
    </row>
    <row r="21" spans="1:21">
      <c r="A21" t="s">
        <v>34</v>
      </c>
      <c r="B21" t="s">
        <v>341</v>
      </c>
      <c r="C21">
        <v>1052</v>
      </c>
      <c r="D21" t="s">
        <v>210</v>
      </c>
      <c r="G21">
        <v>2006</v>
      </c>
      <c r="H21">
        <v>12</v>
      </c>
      <c r="I21">
        <v>0</v>
      </c>
      <c r="J21" t="s">
        <v>30</v>
      </c>
      <c r="K21">
        <v>7</v>
      </c>
      <c r="L21">
        <f t="shared" si="0"/>
        <v>2013</v>
      </c>
      <c r="M21" s="27">
        <f t="shared" si="7"/>
        <v>2014</v>
      </c>
      <c r="N21" s="5">
        <f>'2180 Trucks - Orig.'!O31</f>
        <v>98137.600000000006</v>
      </c>
      <c r="O21" s="5">
        <f t="shared" si="1"/>
        <v>98137.600000000006</v>
      </c>
      <c r="P21" s="5">
        <f t="shared" si="2"/>
        <v>1168.304761904762</v>
      </c>
      <c r="Q21" s="5">
        <f t="shared" si="8"/>
        <v>14019.657142857144</v>
      </c>
      <c r="R21" s="5">
        <f t="shared" si="3"/>
        <v>0</v>
      </c>
      <c r="S21" s="5">
        <f t="shared" si="4"/>
        <v>98137.600000000006</v>
      </c>
      <c r="T21" s="5">
        <f t="shared" si="5"/>
        <v>98137.600000000006</v>
      </c>
      <c r="U21" s="5">
        <f t="shared" si="6"/>
        <v>0</v>
      </c>
    </row>
    <row r="22" spans="1:21" s="26" customFormat="1">
      <c r="A22" s="24"/>
      <c r="B22" s="24"/>
      <c r="C22" s="24"/>
      <c r="D22" s="24" t="s">
        <v>970</v>
      </c>
      <c r="E22" s="24"/>
      <c r="F22" s="24"/>
      <c r="G22" s="24">
        <v>2018</v>
      </c>
      <c r="H22" s="24">
        <v>12</v>
      </c>
      <c r="I22" s="24">
        <v>0</v>
      </c>
      <c r="J22" s="24" t="s">
        <v>30</v>
      </c>
      <c r="K22" s="24">
        <f>+IF(L21-$O$3&gt;=3,L21-$O$3,3)</f>
        <v>3</v>
      </c>
      <c r="L22" s="24">
        <f>G22+K22</f>
        <v>2021</v>
      </c>
      <c r="M22" s="28">
        <f>+L22+(H22/12)</f>
        <v>2022</v>
      </c>
      <c r="N22" s="25">
        <f>'2180 Trucks - Orig.'!N31-'2180 Trucks'!N21</f>
        <v>24534.399999999994</v>
      </c>
      <c r="O22" s="25">
        <f>N22-N22*I22</f>
        <v>24534.399999999994</v>
      </c>
      <c r="P22" s="25">
        <f>O22/K22/12</f>
        <v>681.51111111111095</v>
      </c>
      <c r="Q22" s="25">
        <f>P22*12</f>
        <v>8178.1333333333314</v>
      </c>
      <c r="R22" s="25">
        <f t="shared" si="3"/>
        <v>8178.1333333333314</v>
      </c>
      <c r="S22" s="25">
        <f t="shared" si="4"/>
        <v>0</v>
      </c>
      <c r="T22" s="25">
        <f t="shared" si="5"/>
        <v>8178.1333333333314</v>
      </c>
      <c r="U22" s="25">
        <f t="shared" si="6"/>
        <v>16356.266666666663</v>
      </c>
    </row>
    <row r="23" spans="1:21">
      <c r="A23" t="s">
        <v>34</v>
      </c>
      <c r="D23" t="s">
        <v>446</v>
      </c>
      <c r="E23" t="s">
        <v>445</v>
      </c>
      <c r="G23">
        <v>2006</v>
      </c>
      <c r="H23">
        <v>12</v>
      </c>
      <c r="I23">
        <v>0</v>
      </c>
      <c r="J23" t="s">
        <v>30</v>
      </c>
      <c r="K23">
        <v>5</v>
      </c>
      <c r="L23">
        <f t="shared" si="0"/>
        <v>2011</v>
      </c>
      <c r="M23" s="27">
        <f t="shared" si="7"/>
        <v>2012</v>
      </c>
      <c r="N23" s="5">
        <f>(9918.49+20060.36+141742.3)*18/36</f>
        <v>85860.574999999997</v>
      </c>
      <c r="O23" s="5">
        <f t="shared" si="1"/>
        <v>85860.574999999997</v>
      </c>
      <c r="P23" s="5">
        <f t="shared" si="2"/>
        <v>1431.0095833333332</v>
      </c>
      <c r="Q23" s="5">
        <f t="shared" si="8"/>
        <v>17172.114999999998</v>
      </c>
      <c r="R23" s="5">
        <f t="shared" si="3"/>
        <v>0</v>
      </c>
      <c r="S23" s="5">
        <f t="shared" si="4"/>
        <v>85860.574999999997</v>
      </c>
      <c r="T23" s="5">
        <f t="shared" si="5"/>
        <v>85860.574999999997</v>
      </c>
      <c r="U23" s="5">
        <f t="shared" si="6"/>
        <v>0</v>
      </c>
    </row>
    <row r="24" spans="1:21">
      <c r="A24" t="s">
        <v>34</v>
      </c>
      <c r="C24">
        <v>1052</v>
      </c>
      <c r="D24" t="s">
        <v>326</v>
      </c>
      <c r="G24">
        <v>2007</v>
      </c>
      <c r="H24">
        <v>1</v>
      </c>
      <c r="I24">
        <v>0</v>
      </c>
      <c r="J24" t="s">
        <v>30</v>
      </c>
      <c r="K24">
        <v>7</v>
      </c>
      <c r="L24">
        <f t="shared" si="0"/>
        <v>2014</v>
      </c>
      <c r="M24" s="27">
        <f t="shared" si="7"/>
        <v>2014.0833333333333</v>
      </c>
      <c r="N24" s="5">
        <f>'2180 Trucks - Orig.'!O34</f>
        <v>3159.5520000000001</v>
      </c>
      <c r="O24" s="5">
        <f t="shared" si="1"/>
        <v>3159.5520000000001</v>
      </c>
      <c r="P24" s="5">
        <f t="shared" si="2"/>
        <v>37.613714285714288</v>
      </c>
      <c r="Q24" s="5">
        <f t="shared" si="8"/>
        <v>451.36457142857148</v>
      </c>
      <c r="R24" s="5">
        <f t="shared" si="3"/>
        <v>0</v>
      </c>
      <c r="S24" s="5">
        <f t="shared" si="4"/>
        <v>3159.5520000000001</v>
      </c>
      <c r="T24" s="5">
        <f t="shared" si="5"/>
        <v>3159.5520000000001</v>
      </c>
      <c r="U24" s="5">
        <f t="shared" si="6"/>
        <v>0</v>
      </c>
    </row>
    <row r="25" spans="1:21" s="26" customFormat="1">
      <c r="A25" s="24"/>
      <c r="B25" s="24"/>
      <c r="C25" s="24"/>
      <c r="D25" s="24" t="s">
        <v>972</v>
      </c>
      <c r="E25" s="24"/>
      <c r="F25" s="24"/>
      <c r="G25" s="24">
        <v>2018</v>
      </c>
      <c r="H25" s="24">
        <v>12</v>
      </c>
      <c r="I25" s="24">
        <v>0</v>
      </c>
      <c r="J25" s="24" t="s">
        <v>30</v>
      </c>
      <c r="K25" s="24">
        <f>+IF(L24-$O$3&gt;=3,L24-$O$3,3)</f>
        <v>3</v>
      </c>
      <c r="L25" s="24">
        <f t="shared" si="0"/>
        <v>2021</v>
      </c>
      <c r="M25" s="28">
        <f t="shared" si="7"/>
        <v>2022</v>
      </c>
      <c r="N25" s="25">
        <f>'2180 Trucks - Orig.'!N34-'2180 Trucks'!N24</f>
        <v>789.88799999999992</v>
      </c>
      <c r="O25" s="25">
        <f t="shared" si="1"/>
        <v>789.88799999999992</v>
      </c>
      <c r="P25" s="25">
        <f t="shared" si="2"/>
        <v>21.941333333333333</v>
      </c>
      <c r="Q25" s="25">
        <f t="shared" si="8"/>
        <v>263.29599999999999</v>
      </c>
      <c r="R25" s="25">
        <f t="shared" si="3"/>
        <v>263.29599999999999</v>
      </c>
      <c r="S25" s="25">
        <f t="shared" si="4"/>
        <v>0</v>
      </c>
      <c r="T25" s="25">
        <f t="shared" si="5"/>
        <v>263.29599999999999</v>
      </c>
      <c r="U25" s="25">
        <f t="shared" si="6"/>
        <v>526.59199999999987</v>
      </c>
    </row>
    <row r="26" spans="1:21">
      <c r="A26" t="s">
        <v>34</v>
      </c>
      <c r="B26" t="s">
        <v>341</v>
      </c>
      <c r="C26">
        <v>1063</v>
      </c>
      <c r="D26" t="s">
        <v>57</v>
      </c>
      <c r="G26">
        <v>2007</v>
      </c>
      <c r="H26">
        <v>5</v>
      </c>
      <c r="I26">
        <v>0</v>
      </c>
      <c r="J26" t="s">
        <v>30</v>
      </c>
      <c r="K26">
        <v>7</v>
      </c>
      <c r="L26">
        <f t="shared" si="0"/>
        <v>2014</v>
      </c>
      <c r="M26" s="27">
        <f t="shared" si="7"/>
        <v>2014.4166666666667</v>
      </c>
      <c r="N26" s="5">
        <f>'2180 Trucks - Orig.'!O36</f>
        <v>101874.976</v>
      </c>
      <c r="O26" s="5">
        <f t="shared" si="1"/>
        <v>101874.976</v>
      </c>
      <c r="P26" s="5">
        <f t="shared" si="2"/>
        <v>1212.7973333333332</v>
      </c>
      <c r="Q26" s="5">
        <f t="shared" si="8"/>
        <v>14553.567999999999</v>
      </c>
      <c r="R26" s="5">
        <f t="shared" si="3"/>
        <v>0</v>
      </c>
      <c r="S26" s="5">
        <f t="shared" si="4"/>
        <v>101874.976</v>
      </c>
      <c r="T26" s="5">
        <f t="shared" si="5"/>
        <v>101874.976</v>
      </c>
      <c r="U26" s="5">
        <f t="shared" si="6"/>
        <v>0</v>
      </c>
    </row>
    <row r="27" spans="1:21" s="26" customFormat="1">
      <c r="A27" s="24"/>
      <c r="B27" s="24"/>
      <c r="C27" s="24"/>
      <c r="D27" s="24" t="s">
        <v>974</v>
      </c>
      <c r="E27" s="24"/>
      <c r="F27" s="24"/>
      <c r="G27" s="24">
        <v>2018</v>
      </c>
      <c r="H27" s="24">
        <v>12</v>
      </c>
      <c r="I27" s="24">
        <v>0</v>
      </c>
      <c r="J27" s="24" t="s">
        <v>30</v>
      </c>
      <c r="K27" s="24">
        <f>+IF(L26-$O$3&gt;=3,L26-$O$3,3)</f>
        <v>3</v>
      </c>
      <c r="L27" s="24">
        <f t="shared" si="0"/>
        <v>2021</v>
      </c>
      <c r="M27" s="28">
        <f t="shared" si="7"/>
        <v>2022</v>
      </c>
      <c r="N27" s="25">
        <f>'2180 Trucks - Orig.'!N36-'2180 Trucks'!N26</f>
        <v>25468.744000000006</v>
      </c>
      <c r="O27" s="25">
        <f t="shared" si="1"/>
        <v>25468.744000000006</v>
      </c>
      <c r="P27" s="25">
        <f t="shared" si="2"/>
        <v>707.46511111111124</v>
      </c>
      <c r="Q27" s="25">
        <f t="shared" si="8"/>
        <v>8489.5813333333354</v>
      </c>
      <c r="R27" s="25">
        <f t="shared" si="3"/>
        <v>8489.5813333333354</v>
      </c>
      <c r="S27" s="25">
        <f t="shared" si="4"/>
        <v>0</v>
      </c>
      <c r="T27" s="25">
        <f t="shared" si="5"/>
        <v>8489.5813333333354</v>
      </c>
      <c r="U27" s="25">
        <f t="shared" si="6"/>
        <v>16979.162666666671</v>
      </c>
    </row>
    <row r="28" spans="1:21">
      <c r="A28" t="s">
        <v>34</v>
      </c>
      <c r="B28" t="s">
        <v>341</v>
      </c>
      <c r="C28">
        <v>1066</v>
      </c>
      <c r="D28" t="s">
        <v>57</v>
      </c>
      <c r="G28">
        <v>2007</v>
      </c>
      <c r="H28">
        <v>5</v>
      </c>
      <c r="I28">
        <v>0</v>
      </c>
      <c r="J28" t="s">
        <v>30</v>
      </c>
      <c r="K28">
        <v>7</v>
      </c>
      <c r="L28">
        <f t="shared" si="0"/>
        <v>2014</v>
      </c>
      <c r="M28" s="27">
        <f t="shared" si="7"/>
        <v>2014.4166666666667</v>
      </c>
      <c r="N28" s="5">
        <f>'2180 Trucks - Orig.'!O38</f>
        <v>101874.976</v>
      </c>
      <c r="O28" s="5">
        <f t="shared" si="1"/>
        <v>101874.976</v>
      </c>
      <c r="P28" s="5">
        <f t="shared" si="2"/>
        <v>1212.7973333333332</v>
      </c>
      <c r="Q28" s="5">
        <f t="shared" si="8"/>
        <v>14553.567999999999</v>
      </c>
      <c r="R28" s="5">
        <f t="shared" si="3"/>
        <v>0</v>
      </c>
      <c r="S28" s="5">
        <f t="shared" si="4"/>
        <v>101874.976</v>
      </c>
      <c r="T28" s="5">
        <f t="shared" si="5"/>
        <v>101874.976</v>
      </c>
      <c r="U28" s="5">
        <f t="shared" si="6"/>
        <v>0</v>
      </c>
    </row>
    <row r="29" spans="1:21" s="26" customFormat="1">
      <c r="A29" s="24"/>
      <c r="B29" s="24"/>
      <c r="C29" s="24"/>
      <c r="D29" s="24" t="s">
        <v>974</v>
      </c>
      <c r="E29" s="24"/>
      <c r="F29" s="24"/>
      <c r="G29" s="24">
        <v>2018</v>
      </c>
      <c r="H29" s="24">
        <v>12</v>
      </c>
      <c r="I29" s="24">
        <v>0</v>
      </c>
      <c r="J29" s="24" t="s">
        <v>30</v>
      </c>
      <c r="K29" s="24">
        <f>+IF(L28-$O$3&gt;=3,L28-$O$3,3)</f>
        <v>3</v>
      </c>
      <c r="L29" s="24">
        <f t="shared" si="0"/>
        <v>2021</v>
      </c>
      <c r="M29" s="28">
        <f t="shared" si="7"/>
        <v>2022</v>
      </c>
      <c r="N29" s="25">
        <f>'2180 Trucks - Orig.'!N38-'2180 Trucks'!N28</f>
        <v>25468.744000000006</v>
      </c>
      <c r="O29" s="25">
        <f t="shared" si="1"/>
        <v>25468.744000000006</v>
      </c>
      <c r="P29" s="25">
        <f t="shared" si="2"/>
        <v>707.46511111111124</v>
      </c>
      <c r="Q29" s="25">
        <f t="shared" si="8"/>
        <v>8489.5813333333354</v>
      </c>
      <c r="R29" s="25">
        <f t="shared" si="3"/>
        <v>8489.5813333333354</v>
      </c>
      <c r="S29" s="25">
        <f t="shared" si="4"/>
        <v>0</v>
      </c>
      <c r="T29" s="25">
        <f t="shared" si="5"/>
        <v>8489.5813333333354</v>
      </c>
      <c r="U29" s="25">
        <f t="shared" si="6"/>
        <v>16979.162666666671</v>
      </c>
    </row>
    <row r="30" spans="1:21">
      <c r="A30" t="s">
        <v>34</v>
      </c>
      <c r="B30" t="s">
        <v>341</v>
      </c>
      <c r="C30">
        <v>1058</v>
      </c>
      <c r="D30" t="s">
        <v>57</v>
      </c>
      <c r="G30">
        <v>2007</v>
      </c>
      <c r="H30">
        <v>5</v>
      </c>
      <c r="I30">
        <v>0</v>
      </c>
      <c r="J30" t="s">
        <v>30</v>
      </c>
      <c r="K30">
        <v>7</v>
      </c>
      <c r="L30">
        <f t="shared" si="0"/>
        <v>2014</v>
      </c>
      <c r="M30" s="27">
        <f t="shared" si="7"/>
        <v>2014.4166666666667</v>
      </c>
      <c r="N30" s="5">
        <f>'2180 Trucks - Orig.'!O39</f>
        <v>101874.976</v>
      </c>
      <c r="O30" s="5">
        <f t="shared" si="1"/>
        <v>101874.976</v>
      </c>
      <c r="P30" s="5">
        <f t="shared" si="2"/>
        <v>1212.7973333333332</v>
      </c>
      <c r="Q30" s="5">
        <f t="shared" si="8"/>
        <v>14553.567999999999</v>
      </c>
      <c r="R30" s="5">
        <f t="shared" si="3"/>
        <v>0</v>
      </c>
      <c r="S30" s="5">
        <f t="shared" si="4"/>
        <v>101874.976</v>
      </c>
      <c r="T30" s="5">
        <f t="shared" si="5"/>
        <v>101874.976</v>
      </c>
      <c r="U30" s="5">
        <f t="shared" si="6"/>
        <v>0</v>
      </c>
    </row>
    <row r="31" spans="1:21" s="26" customFormat="1">
      <c r="A31" s="24"/>
      <c r="B31" s="24"/>
      <c r="C31" s="24"/>
      <c r="D31" s="24" t="s">
        <v>974</v>
      </c>
      <c r="E31" s="24"/>
      <c r="F31" s="24"/>
      <c r="G31" s="24">
        <v>2018</v>
      </c>
      <c r="H31" s="24">
        <v>12</v>
      </c>
      <c r="I31" s="24">
        <v>0</v>
      </c>
      <c r="J31" s="24" t="s">
        <v>30</v>
      </c>
      <c r="K31" s="24">
        <f>+IF(L30-$O$3&gt;=3,L30-$O$3,3)</f>
        <v>3</v>
      </c>
      <c r="L31" s="24">
        <f t="shared" si="0"/>
        <v>2021</v>
      </c>
      <c r="M31" s="28">
        <f t="shared" si="7"/>
        <v>2022</v>
      </c>
      <c r="N31" s="25">
        <f>'2180 Trucks - Orig.'!N39-'2180 Trucks'!N30</f>
        <v>25468.744000000006</v>
      </c>
      <c r="O31" s="25">
        <f t="shared" si="1"/>
        <v>25468.744000000006</v>
      </c>
      <c r="P31" s="25">
        <f t="shared" si="2"/>
        <v>707.46511111111124</v>
      </c>
      <c r="Q31" s="25">
        <f t="shared" si="8"/>
        <v>8489.5813333333354</v>
      </c>
      <c r="R31" s="25">
        <f t="shared" si="3"/>
        <v>8489.5813333333354</v>
      </c>
      <c r="S31" s="25">
        <f t="shared" si="4"/>
        <v>0</v>
      </c>
      <c r="T31" s="25">
        <f t="shared" si="5"/>
        <v>8489.5813333333354</v>
      </c>
      <c r="U31" s="25">
        <f t="shared" si="6"/>
        <v>16979.162666666671</v>
      </c>
    </row>
    <row r="32" spans="1:21">
      <c r="A32" t="s">
        <v>34</v>
      </c>
      <c r="B32" t="s">
        <v>341</v>
      </c>
      <c r="C32">
        <v>1064</v>
      </c>
      <c r="D32" t="s">
        <v>57</v>
      </c>
      <c r="G32">
        <v>2007</v>
      </c>
      <c r="H32">
        <v>7</v>
      </c>
      <c r="I32">
        <v>0</v>
      </c>
      <c r="J32" t="s">
        <v>30</v>
      </c>
      <c r="K32">
        <v>7</v>
      </c>
      <c r="L32">
        <f t="shared" si="0"/>
        <v>2014</v>
      </c>
      <c r="M32" s="27">
        <f t="shared" si="7"/>
        <v>2014.5833333333333</v>
      </c>
      <c r="N32" s="5">
        <f>'2180 Trucks - Orig.'!O40</f>
        <v>101874.976</v>
      </c>
      <c r="O32" s="5">
        <f t="shared" si="1"/>
        <v>101874.976</v>
      </c>
      <c r="P32" s="5">
        <f t="shared" si="2"/>
        <v>1212.7973333333332</v>
      </c>
      <c r="Q32" s="5">
        <f t="shared" si="8"/>
        <v>14553.567999999999</v>
      </c>
      <c r="R32" s="5">
        <f t="shared" si="3"/>
        <v>0</v>
      </c>
      <c r="S32" s="5">
        <f t="shared" si="4"/>
        <v>101874.976</v>
      </c>
      <c r="T32" s="5">
        <f t="shared" si="5"/>
        <v>101874.976</v>
      </c>
      <c r="U32" s="5">
        <f t="shared" si="6"/>
        <v>0</v>
      </c>
    </row>
    <row r="33" spans="1:21" s="26" customFormat="1">
      <c r="A33" s="24"/>
      <c r="B33" s="24"/>
      <c r="C33" s="24"/>
      <c r="D33" s="24" t="s">
        <v>974</v>
      </c>
      <c r="E33" s="24"/>
      <c r="F33" s="24"/>
      <c r="G33" s="24">
        <v>2018</v>
      </c>
      <c r="H33" s="24">
        <v>12</v>
      </c>
      <c r="I33" s="24">
        <v>0</v>
      </c>
      <c r="J33" s="24" t="s">
        <v>30</v>
      </c>
      <c r="K33" s="24">
        <f>+IF(L32-$O$3&gt;=3,L32-$O$3,3)</f>
        <v>3</v>
      </c>
      <c r="L33" s="24">
        <f t="shared" si="0"/>
        <v>2021</v>
      </c>
      <c r="M33" s="28">
        <f t="shared" si="7"/>
        <v>2022</v>
      </c>
      <c r="N33" s="25">
        <f>'2180 Trucks - Orig.'!N40-'2180 Trucks'!N32</f>
        <v>25468.744000000006</v>
      </c>
      <c r="O33" s="25">
        <f t="shared" si="1"/>
        <v>25468.744000000006</v>
      </c>
      <c r="P33" s="25">
        <f t="shared" si="2"/>
        <v>707.46511111111124</v>
      </c>
      <c r="Q33" s="25">
        <f t="shared" si="8"/>
        <v>8489.5813333333354</v>
      </c>
      <c r="R33" s="25">
        <f t="shared" si="3"/>
        <v>8489.5813333333354</v>
      </c>
      <c r="S33" s="25">
        <f t="shared" si="4"/>
        <v>0</v>
      </c>
      <c r="T33" s="25">
        <f t="shared" si="5"/>
        <v>8489.5813333333354</v>
      </c>
      <c r="U33" s="25">
        <f t="shared" si="6"/>
        <v>16979.162666666671</v>
      </c>
    </row>
    <row r="34" spans="1:21">
      <c r="B34" t="s">
        <v>344</v>
      </c>
      <c r="C34">
        <v>9578</v>
      </c>
      <c r="D34" t="s">
        <v>316</v>
      </c>
      <c r="G34">
        <v>2009</v>
      </c>
      <c r="H34">
        <v>7</v>
      </c>
      <c r="I34">
        <v>0</v>
      </c>
      <c r="J34" t="s">
        <v>30</v>
      </c>
      <c r="K34">
        <v>3</v>
      </c>
      <c r="L34">
        <f t="shared" ref="L34:L39" si="9">G34+K34</f>
        <v>2012</v>
      </c>
      <c r="M34" s="27">
        <f t="shared" si="7"/>
        <v>2012.5833333333333</v>
      </c>
      <c r="N34" s="5">
        <v>6184.03</v>
      </c>
      <c r="O34" s="5">
        <f t="shared" ref="O34:O39" si="10">N34-N34*I34</f>
        <v>6184.03</v>
      </c>
      <c r="P34" s="5">
        <f t="shared" ref="P34:P39" si="11">O34/K34/12</f>
        <v>171.7786111111111</v>
      </c>
      <c r="Q34" s="5">
        <f t="shared" si="8"/>
        <v>2061.3433333333332</v>
      </c>
      <c r="R34" s="5">
        <f t="shared" ref="R34:R51" si="12">+IF(M34&lt;=$O$5,0,IF(L34&gt;$O$4,Q34,(P34*H34)))</f>
        <v>0</v>
      </c>
      <c r="S34" s="5">
        <f t="shared" ref="S34:S51" si="13">+IF(R34=0,N34,IF($O$3-G34&lt;1,0,(($O$3-G34)*Q34)))</f>
        <v>6184.03</v>
      </c>
      <c r="T34" s="5">
        <f t="shared" ref="T34:T51" si="14">+IF(R34=0,S34,S34+R34)</f>
        <v>6184.03</v>
      </c>
      <c r="U34" s="5">
        <f t="shared" ref="U34:U51" si="15">+N34-T34</f>
        <v>0</v>
      </c>
    </row>
    <row r="35" spans="1:21">
      <c r="A35" t="s">
        <v>34</v>
      </c>
      <c r="D35" t="s">
        <v>442</v>
      </c>
      <c r="E35" t="s">
        <v>443</v>
      </c>
      <c r="F35" t="s">
        <v>372</v>
      </c>
      <c r="G35">
        <v>2009</v>
      </c>
      <c r="H35">
        <v>7</v>
      </c>
      <c r="I35">
        <v>0</v>
      </c>
      <c r="J35" t="s">
        <v>30</v>
      </c>
      <c r="K35">
        <v>5</v>
      </c>
      <c r="L35">
        <f t="shared" si="9"/>
        <v>2014</v>
      </c>
      <c r="M35" s="27">
        <f t="shared" si="7"/>
        <v>2014.5833333333333</v>
      </c>
      <c r="N35" s="5">
        <f>(6722.48+38653.29+641.31+1194.22+14225.95)*38/61</f>
        <v>38272.385245901642</v>
      </c>
      <c r="O35" s="5">
        <f t="shared" si="10"/>
        <v>38272.385245901642</v>
      </c>
      <c r="P35" s="5">
        <f t="shared" si="11"/>
        <v>637.87308743169399</v>
      </c>
      <c r="Q35" s="5">
        <f t="shared" si="8"/>
        <v>7654.4770491803283</v>
      </c>
      <c r="R35" s="5">
        <f t="shared" si="12"/>
        <v>0</v>
      </c>
      <c r="S35" s="5">
        <f t="shared" si="13"/>
        <v>38272.385245901642</v>
      </c>
      <c r="T35" s="5">
        <f t="shared" si="14"/>
        <v>38272.385245901642</v>
      </c>
      <c r="U35" s="5">
        <f t="shared" si="15"/>
        <v>0</v>
      </c>
    </row>
    <row r="36" spans="1:21">
      <c r="D36" t="s">
        <v>448</v>
      </c>
      <c r="E36" t="s">
        <v>447</v>
      </c>
      <c r="G36">
        <v>2009</v>
      </c>
      <c r="H36">
        <v>7</v>
      </c>
      <c r="I36">
        <v>0</v>
      </c>
      <c r="J36" t="s">
        <v>30</v>
      </c>
      <c r="K36">
        <v>5</v>
      </c>
      <c r="L36">
        <f t="shared" si="9"/>
        <v>2014</v>
      </c>
      <c r="M36" s="27">
        <f t="shared" si="7"/>
        <v>2014.5833333333333</v>
      </c>
      <c r="N36" s="5">
        <f>(34912.65+1078.65+10913.06)*18/46</f>
        <v>18353.88</v>
      </c>
      <c r="O36" s="5">
        <f t="shared" si="10"/>
        <v>18353.88</v>
      </c>
      <c r="P36" s="5">
        <f t="shared" si="11"/>
        <v>305.89800000000002</v>
      </c>
      <c r="Q36" s="5">
        <f t="shared" si="8"/>
        <v>3670.7760000000003</v>
      </c>
      <c r="R36" s="5">
        <f t="shared" si="12"/>
        <v>0</v>
      </c>
      <c r="S36" s="5">
        <f t="shared" si="13"/>
        <v>18353.88</v>
      </c>
      <c r="T36" s="5">
        <f t="shared" si="14"/>
        <v>18353.88</v>
      </c>
      <c r="U36" s="5">
        <f t="shared" si="15"/>
        <v>0</v>
      </c>
    </row>
    <row r="37" spans="1:21">
      <c r="D37" t="s">
        <v>377</v>
      </c>
      <c r="E37">
        <v>75160</v>
      </c>
      <c r="F37" t="s">
        <v>372</v>
      </c>
      <c r="G37">
        <v>2010</v>
      </c>
      <c r="H37">
        <v>6</v>
      </c>
      <c r="I37">
        <v>0</v>
      </c>
      <c r="J37" t="s">
        <v>30</v>
      </c>
      <c r="K37">
        <v>5</v>
      </c>
      <c r="L37">
        <f t="shared" si="9"/>
        <v>2015</v>
      </c>
      <c r="M37" s="27">
        <f t="shared" si="7"/>
        <v>2015.5</v>
      </c>
      <c r="N37" s="5">
        <f>16772.32*38/61</f>
        <v>10448.330491803279</v>
      </c>
      <c r="O37" s="5">
        <f t="shared" si="10"/>
        <v>10448.330491803279</v>
      </c>
      <c r="P37" s="5">
        <f t="shared" si="11"/>
        <v>174.13884153005463</v>
      </c>
      <c r="Q37" s="5">
        <f t="shared" si="8"/>
        <v>2089.6660983606557</v>
      </c>
      <c r="R37" s="5">
        <f t="shared" si="12"/>
        <v>0</v>
      </c>
      <c r="S37" s="5">
        <f t="shared" si="13"/>
        <v>10448.330491803279</v>
      </c>
      <c r="T37" s="5">
        <f t="shared" si="14"/>
        <v>10448.330491803279</v>
      </c>
      <c r="U37" s="5">
        <f t="shared" si="15"/>
        <v>0</v>
      </c>
    </row>
    <row r="38" spans="1:21">
      <c r="A38" t="s">
        <v>34</v>
      </c>
      <c r="B38" t="s">
        <v>886</v>
      </c>
      <c r="C38">
        <v>626</v>
      </c>
      <c r="D38" t="s">
        <v>909</v>
      </c>
      <c r="E38">
        <v>187421</v>
      </c>
      <c r="G38">
        <v>2012</v>
      </c>
      <c r="H38">
        <v>2</v>
      </c>
      <c r="I38">
        <v>0</v>
      </c>
      <c r="J38" t="s">
        <v>30</v>
      </c>
      <c r="K38">
        <v>10</v>
      </c>
      <c r="L38">
        <f t="shared" si="9"/>
        <v>2022</v>
      </c>
      <c r="M38" s="27">
        <f t="shared" si="7"/>
        <v>2022.1666666666667</v>
      </c>
      <c r="N38" s="5">
        <v>247726.06</v>
      </c>
      <c r="O38" s="5">
        <f t="shared" si="10"/>
        <v>247726.06</v>
      </c>
      <c r="P38" s="5">
        <f t="shared" si="11"/>
        <v>2064.3838333333333</v>
      </c>
      <c r="Q38" s="5">
        <f t="shared" si="8"/>
        <v>24772.606</v>
      </c>
      <c r="R38" s="5">
        <f t="shared" si="12"/>
        <v>24772.606</v>
      </c>
      <c r="S38" s="5">
        <f t="shared" si="13"/>
        <v>148635.636</v>
      </c>
      <c r="T38" s="5">
        <f t="shared" si="14"/>
        <v>173408.242</v>
      </c>
      <c r="U38" s="5">
        <f t="shared" si="15"/>
        <v>74317.817999999999</v>
      </c>
    </row>
    <row r="39" spans="1:21">
      <c r="C39" t="s">
        <v>734</v>
      </c>
      <c r="D39" t="s">
        <v>720</v>
      </c>
      <c r="E39">
        <v>111005</v>
      </c>
      <c r="G39">
        <v>2014</v>
      </c>
      <c r="H39">
        <v>1</v>
      </c>
      <c r="I39">
        <v>0</v>
      </c>
      <c r="J39" t="s">
        <v>30</v>
      </c>
      <c r="K39">
        <v>5</v>
      </c>
      <c r="L39">
        <f t="shared" si="9"/>
        <v>2019</v>
      </c>
      <c r="M39" s="27">
        <f t="shared" si="7"/>
        <v>2019.0833333333333</v>
      </c>
      <c r="N39" s="5">
        <v>1223.43</v>
      </c>
      <c r="O39" s="5">
        <f t="shared" si="10"/>
        <v>1223.43</v>
      </c>
      <c r="P39" s="5">
        <f t="shared" si="11"/>
        <v>20.390499999999999</v>
      </c>
      <c r="Q39" s="5">
        <f t="shared" si="8"/>
        <v>244.68599999999998</v>
      </c>
      <c r="R39" s="5">
        <f t="shared" si="12"/>
        <v>0</v>
      </c>
      <c r="S39" s="5">
        <f t="shared" si="13"/>
        <v>1223.43</v>
      </c>
      <c r="T39" s="5">
        <f t="shared" si="14"/>
        <v>1223.43</v>
      </c>
      <c r="U39" s="5">
        <f t="shared" si="15"/>
        <v>0</v>
      </c>
    </row>
    <row r="40" spans="1:21">
      <c r="A40" t="s">
        <v>34</v>
      </c>
      <c r="C40">
        <v>3644</v>
      </c>
      <c r="D40" t="s">
        <v>799</v>
      </c>
      <c r="E40" t="s">
        <v>800</v>
      </c>
      <c r="G40">
        <v>2015</v>
      </c>
      <c r="H40">
        <v>9</v>
      </c>
      <c r="I40">
        <v>0</v>
      </c>
      <c r="J40" t="s">
        <v>30</v>
      </c>
      <c r="K40">
        <v>7</v>
      </c>
      <c r="L40">
        <f>G40+K40</f>
        <v>2022</v>
      </c>
      <c r="M40" s="27">
        <f>+L40+(H40/12)</f>
        <v>2022.75</v>
      </c>
      <c r="N40" s="5">
        <f>341500.78+3252.04</f>
        <v>344752.82</v>
      </c>
      <c r="O40" s="5">
        <f>N40-N40*I40</f>
        <v>344752.82</v>
      </c>
      <c r="P40" s="5">
        <f>O40/K40/12</f>
        <v>4104.2002380952381</v>
      </c>
      <c r="Q40" s="5">
        <f>P40*12</f>
        <v>49250.402857142857</v>
      </c>
      <c r="R40" s="5">
        <f>+IF(M40&lt;=$O$5,0,IF(L40&gt;$O$4,Q40,(P40*H40)))</f>
        <v>49250.402857142857</v>
      </c>
      <c r="S40" s="5">
        <f>+IF(R40=0,N40,IF($O$3-G40&lt;1,0,(($O$3-G40)*Q40)))</f>
        <v>147751.20857142858</v>
      </c>
      <c r="T40" s="5">
        <f>+IF(R40=0,S40,S40+R40)</f>
        <v>197001.61142857143</v>
      </c>
      <c r="U40" s="5">
        <f>+N40-T40</f>
        <v>147751.20857142858</v>
      </c>
    </row>
    <row r="41" spans="1:21">
      <c r="C41">
        <v>3649</v>
      </c>
      <c r="D41" t="s">
        <v>811</v>
      </c>
      <c r="E41">
        <v>128671</v>
      </c>
      <c r="G41">
        <v>2015</v>
      </c>
      <c r="H41">
        <v>12</v>
      </c>
      <c r="I41">
        <v>0</v>
      </c>
      <c r="J41" t="s">
        <v>30</v>
      </c>
      <c r="K41">
        <v>10</v>
      </c>
      <c r="L41">
        <f>G41+K41</f>
        <v>2025</v>
      </c>
      <c r="M41" s="27">
        <f t="shared" ref="M41:M57" si="16">+L41+(H41/12)</f>
        <v>2026</v>
      </c>
      <c r="N41" s="5">
        <v>335414.45</v>
      </c>
      <c r="O41" s="5">
        <f t="shared" ref="O41:O51" si="17">N41-N41*I41</f>
        <v>335414.45</v>
      </c>
      <c r="P41" s="5">
        <f t="shared" ref="P41:P51" si="18">O41/K41/12</f>
        <v>2795.1204166666666</v>
      </c>
      <c r="Q41" s="5">
        <f t="shared" ref="Q41:Q56" si="19">P41*12</f>
        <v>33541.445</v>
      </c>
      <c r="R41" s="5">
        <f t="shared" si="12"/>
        <v>33541.445</v>
      </c>
      <c r="S41" s="5">
        <f t="shared" si="13"/>
        <v>100624.33499999999</v>
      </c>
      <c r="T41" s="5">
        <f t="shared" si="14"/>
        <v>134165.78</v>
      </c>
      <c r="U41" s="5">
        <f t="shared" si="15"/>
        <v>201248.67</v>
      </c>
    </row>
    <row r="42" spans="1:21">
      <c r="C42">
        <v>3649</v>
      </c>
      <c r="D42" t="s">
        <v>812</v>
      </c>
      <c r="E42">
        <v>128928</v>
      </c>
      <c r="F42">
        <v>128671</v>
      </c>
      <c r="G42">
        <v>2015</v>
      </c>
      <c r="H42">
        <v>12</v>
      </c>
      <c r="I42">
        <v>0</v>
      </c>
      <c r="J42" t="s">
        <v>30</v>
      </c>
      <c r="K42">
        <v>10</v>
      </c>
      <c r="L42">
        <f>G42+K42</f>
        <v>2025</v>
      </c>
      <c r="M42" s="27">
        <f t="shared" si="16"/>
        <v>2026</v>
      </c>
      <c r="N42" s="5">
        <v>969.39</v>
      </c>
      <c r="O42" s="5">
        <f t="shared" si="17"/>
        <v>969.39</v>
      </c>
      <c r="P42" s="5">
        <f t="shared" si="18"/>
        <v>8.0782499999999988</v>
      </c>
      <c r="Q42" s="5">
        <f t="shared" si="19"/>
        <v>96.938999999999993</v>
      </c>
      <c r="R42" s="5">
        <f t="shared" si="12"/>
        <v>96.938999999999993</v>
      </c>
      <c r="S42" s="5">
        <f t="shared" si="13"/>
        <v>290.81700000000001</v>
      </c>
      <c r="T42" s="5">
        <f t="shared" si="14"/>
        <v>387.75599999999997</v>
      </c>
      <c r="U42" s="5">
        <f t="shared" si="15"/>
        <v>581.63400000000001</v>
      </c>
    </row>
    <row r="43" spans="1:21">
      <c r="C43">
        <v>3649</v>
      </c>
      <c r="D43" t="s">
        <v>732</v>
      </c>
      <c r="E43">
        <v>128671</v>
      </c>
      <c r="F43">
        <v>128671</v>
      </c>
      <c r="G43">
        <v>2015</v>
      </c>
      <c r="H43">
        <v>12</v>
      </c>
      <c r="I43">
        <v>0</v>
      </c>
      <c r="J43" t="s">
        <v>30</v>
      </c>
      <c r="K43">
        <v>10</v>
      </c>
      <c r="L43">
        <f>G43+K43</f>
        <v>2025</v>
      </c>
      <c r="M43" s="27">
        <f t="shared" si="16"/>
        <v>2026</v>
      </c>
      <c r="N43" s="5">
        <v>637.96</v>
      </c>
      <c r="O43" s="5">
        <f t="shared" si="17"/>
        <v>637.96</v>
      </c>
      <c r="P43" s="5">
        <f t="shared" si="18"/>
        <v>5.3163333333333336</v>
      </c>
      <c r="Q43" s="5">
        <f t="shared" si="19"/>
        <v>63.796000000000006</v>
      </c>
      <c r="R43" s="5">
        <f t="shared" si="12"/>
        <v>63.796000000000006</v>
      </c>
      <c r="S43" s="5">
        <f t="shared" si="13"/>
        <v>191.38800000000003</v>
      </c>
      <c r="T43" s="5">
        <f t="shared" si="14"/>
        <v>255.18400000000003</v>
      </c>
      <c r="U43" s="5">
        <f t="shared" si="15"/>
        <v>382.77600000000001</v>
      </c>
    </row>
    <row r="44" spans="1:21">
      <c r="C44">
        <v>3649</v>
      </c>
      <c r="D44" t="s">
        <v>818</v>
      </c>
      <c r="E44">
        <v>130455</v>
      </c>
      <c r="F44">
        <v>128671</v>
      </c>
      <c r="G44">
        <v>2016</v>
      </c>
      <c r="H44">
        <v>1</v>
      </c>
      <c r="I44">
        <v>0</v>
      </c>
      <c r="J44" t="s">
        <v>30</v>
      </c>
      <c r="K44">
        <v>10</v>
      </c>
      <c r="L44">
        <f t="shared" ref="L44:L48" si="20">G44+K44</f>
        <v>2026</v>
      </c>
      <c r="M44" s="27">
        <f t="shared" si="16"/>
        <v>2026.0833333333333</v>
      </c>
      <c r="N44" s="5">
        <v>951.46</v>
      </c>
      <c r="O44" s="5">
        <f t="shared" si="17"/>
        <v>951.46</v>
      </c>
      <c r="P44" s="5">
        <f t="shared" si="18"/>
        <v>7.9288333333333334</v>
      </c>
      <c r="Q44" s="5">
        <f t="shared" si="19"/>
        <v>95.146000000000001</v>
      </c>
      <c r="R44" s="5">
        <f t="shared" si="12"/>
        <v>95.146000000000001</v>
      </c>
      <c r="S44" s="5">
        <f t="shared" si="13"/>
        <v>190.292</v>
      </c>
      <c r="T44" s="5">
        <f t="shared" si="14"/>
        <v>285.43799999999999</v>
      </c>
      <c r="U44" s="5">
        <f t="shared" si="15"/>
        <v>666.02200000000005</v>
      </c>
    </row>
    <row r="45" spans="1:21">
      <c r="B45" t="s">
        <v>342</v>
      </c>
      <c r="C45">
        <v>3652</v>
      </c>
      <c r="D45" t="s">
        <v>811</v>
      </c>
      <c r="E45">
        <v>132078</v>
      </c>
      <c r="G45">
        <v>2016</v>
      </c>
      <c r="H45">
        <v>4</v>
      </c>
      <c r="I45">
        <v>0</v>
      </c>
      <c r="J45" t="s">
        <v>30</v>
      </c>
      <c r="K45">
        <v>10</v>
      </c>
      <c r="L45">
        <f t="shared" si="20"/>
        <v>2026</v>
      </c>
      <c r="M45" s="27">
        <f t="shared" si="16"/>
        <v>2026.3333333333333</v>
      </c>
      <c r="N45" s="5">
        <v>336680.5</v>
      </c>
      <c r="O45" s="5">
        <f t="shared" si="17"/>
        <v>336680.5</v>
      </c>
      <c r="P45" s="5">
        <f t="shared" si="18"/>
        <v>2805.6708333333336</v>
      </c>
      <c r="Q45" s="5">
        <f t="shared" si="19"/>
        <v>33668.050000000003</v>
      </c>
      <c r="R45" s="5">
        <f t="shared" si="12"/>
        <v>33668.050000000003</v>
      </c>
      <c r="S45" s="5">
        <f t="shared" si="13"/>
        <v>67336.100000000006</v>
      </c>
      <c r="T45" s="5">
        <f t="shared" si="14"/>
        <v>101004.15000000001</v>
      </c>
      <c r="U45" s="5">
        <f t="shared" si="15"/>
        <v>235676.34999999998</v>
      </c>
    </row>
    <row r="46" spans="1:21">
      <c r="C46">
        <v>3658</v>
      </c>
      <c r="D46" t="s">
        <v>878</v>
      </c>
      <c r="E46">
        <v>185087</v>
      </c>
      <c r="F46">
        <v>185371</v>
      </c>
      <c r="G46">
        <v>2017</v>
      </c>
      <c r="H46">
        <v>8</v>
      </c>
      <c r="I46">
        <v>0</v>
      </c>
      <c r="J46" t="s">
        <v>30</v>
      </c>
      <c r="K46">
        <v>10</v>
      </c>
      <c r="L46">
        <f t="shared" si="20"/>
        <v>2027</v>
      </c>
      <c r="M46" s="27">
        <f t="shared" si="16"/>
        <v>2027.6666666666667</v>
      </c>
      <c r="N46" s="5">
        <v>256.86</v>
      </c>
      <c r="O46" s="5">
        <f t="shared" si="17"/>
        <v>256.86</v>
      </c>
      <c r="P46" s="5">
        <f t="shared" si="18"/>
        <v>2.1404999999999998</v>
      </c>
      <c r="Q46" s="5">
        <f t="shared" si="19"/>
        <v>25.686</v>
      </c>
      <c r="R46" s="5">
        <f t="shared" si="12"/>
        <v>25.686</v>
      </c>
      <c r="S46" s="5">
        <f t="shared" si="13"/>
        <v>25.686</v>
      </c>
      <c r="T46" s="5">
        <f t="shared" si="14"/>
        <v>51.372</v>
      </c>
      <c r="U46" s="5">
        <f t="shared" si="15"/>
        <v>205.488</v>
      </c>
    </row>
    <row r="47" spans="1:21">
      <c r="C47">
        <v>3304</v>
      </c>
      <c r="D47" t="s">
        <v>881</v>
      </c>
      <c r="E47">
        <v>184364</v>
      </c>
      <c r="F47" t="s">
        <v>372</v>
      </c>
      <c r="G47">
        <v>2017</v>
      </c>
      <c r="H47">
        <v>7</v>
      </c>
      <c r="I47">
        <v>0</v>
      </c>
      <c r="J47" t="s">
        <v>30</v>
      </c>
      <c r="K47">
        <v>10</v>
      </c>
      <c r="L47">
        <f t="shared" si="20"/>
        <v>2027</v>
      </c>
      <c r="M47" s="27">
        <f t="shared" si="16"/>
        <v>2027.5833333333333</v>
      </c>
      <c r="N47" s="5">
        <v>143024.03</v>
      </c>
      <c r="O47" s="5">
        <f t="shared" si="17"/>
        <v>143024.03</v>
      </c>
      <c r="P47" s="5">
        <f t="shared" si="18"/>
        <v>1191.8669166666666</v>
      </c>
      <c r="Q47" s="5">
        <f t="shared" si="19"/>
        <v>14302.402999999998</v>
      </c>
      <c r="R47" s="5">
        <f t="shared" si="12"/>
        <v>14302.402999999998</v>
      </c>
      <c r="S47" s="5">
        <f t="shared" si="13"/>
        <v>14302.402999999998</v>
      </c>
      <c r="T47" s="5">
        <f t="shared" si="14"/>
        <v>28604.805999999997</v>
      </c>
      <c r="U47" s="5">
        <f t="shared" si="15"/>
        <v>114419.224</v>
      </c>
    </row>
    <row r="48" spans="1:21">
      <c r="C48">
        <v>3304</v>
      </c>
      <c r="D48" t="s">
        <v>882</v>
      </c>
      <c r="E48">
        <v>184562</v>
      </c>
      <c r="F48">
        <v>184364</v>
      </c>
      <c r="G48">
        <v>2017</v>
      </c>
      <c r="H48">
        <v>7</v>
      </c>
      <c r="I48">
        <v>0</v>
      </c>
      <c r="J48" t="s">
        <v>30</v>
      </c>
      <c r="K48">
        <v>5</v>
      </c>
      <c r="L48">
        <f t="shared" si="20"/>
        <v>2022</v>
      </c>
      <c r="M48" s="27">
        <f t="shared" si="16"/>
        <v>2022.5833333333333</v>
      </c>
      <c r="N48" s="5">
        <v>346.44</v>
      </c>
      <c r="O48" s="5">
        <f t="shared" si="17"/>
        <v>346.44</v>
      </c>
      <c r="P48" s="5">
        <f t="shared" si="18"/>
        <v>5.774</v>
      </c>
      <c r="Q48" s="5">
        <f t="shared" si="19"/>
        <v>69.287999999999997</v>
      </c>
      <c r="R48" s="5">
        <f t="shared" si="12"/>
        <v>69.287999999999997</v>
      </c>
      <c r="S48" s="5">
        <f t="shared" si="13"/>
        <v>69.287999999999997</v>
      </c>
      <c r="T48" s="5">
        <f t="shared" si="14"/>
        <v>138.57599999999999</v>
      </c>
      <c r="U48" s="5">
        <f t="shared" si="15"/>
        <v>207.864</v>
      </c>
    </row>
    <row r="49" spans="2:21">
      <c r="B49" t="s">
        <v>342</v>
      </c>
      <c r="C49">
        <v>3668</v>
      </c>
      <c r="D49" t="s">
        <v>863</v>
      </c>
      <c r="E49">
        <v>189848</v>
      </c>
      <c r="G49">
        <v>2017</v>
      </c>
      <c r="H49">
        <v>12</v>
      </c>
      <c r="I49">
        <v>0</v>
      </c>
      <c r="J49" t="s">
        <v>30</v>
      </c>
      <c r="K49">
        <v>10</v>
      </c>
      <c r="L49">
        <f t="shared" ref="L49:L57" si="21">G49+K49</f>
        <v>2027</v>
      </c>
      <c r="M49" s="27">
        <f t="shared" si="16"/>
        <v>2028</v>
      </c>
      <c r="N49" s="5">
        <v>344877.62</v>
      </c>
      <c r="O49" s="5">
        <f t="shared" si="17"/>
        <v>344877.62</v>
      </c>
      <c r="P49" s="5">
        <f t="shared" si="18"/>
        <v>2873.9801666666667</v>
      </c>
      <c r="Q49" s="5">
        <f t="shared" si="19"/>
        <v>34487.762000000002</v>
      </c>
      <c r="R49" s="5">
        <f t="shared" si="12"/>
        <v>34487.762000000002</v>
      </c>
      <c r="S49" s="5">
        <f t="shared" si="13"/>
        <v>34487.762000000002</v>
      </c>
      <c r="T49" s="5">
        <f t="shared" si="14"/>
        <v>68975.524000000005</v>
      </c>
      <c r="U49" s="5">
        <f t="shared" si="15"/>
        <v>275902.09600000002</v>
      </c>
    </row>
    <row r="50" spans="2:21">
      <c r="B50" t="s">
        <v>342</v>
      </c>
      <c r="C50">
        <v>3667</v>
      </c>
      <c r="D50" t="s">
        <v>863</v>
      </c>
      <c r="E50">
        <v>189847</v>
      </c>
      <c r="G50">
        <v>2017</v>
      </c>
      <c r="H50">
        <v>12</v>
      </c>
      <c r="I50">
        <v>0</v>
      </c>
      <c r="J50" t="s">
        <v>30</v>
      </c>
      <c r="K50">
        <v>10</v>
      </c>
      <c r="L50">
        <f t="shared" si="21"/>
        <v>2027</v>
      </c>
      <c r="M50" s="27">
        <f t="shared" si="16"/>
        <v>2028</v>
      </c>
      <c r="N50" s="5">
        <v>345348.48</v>
      </c>
      <c r="O50" s="5">
        <f t="shared" si="17"/>
        <v>345348.48</v>
      </c>
      <c r="P50" s="5">
        <f t="shared" si="18"/>
        <v>2877.904</v>
      </c>
      <c r="Q50" s="5">
        <f t="shared" si="19"/>
        <v>34534.847999999998</v>
      </c>
      <c r="R50" s="5">
        <f t="shared" si="12"/>
        <v>34534.847999999998</v>
      </c>
      <c r="S50" s="5">
        <f t="shared" si="13"/>
        <v>34534.847999999998</v>
      </c>
      <c r="T50" s="5">
        <f t="shared" si="14"/>
        <v>69069.695999999996</v>
      </c>
      <c r="U50" s="5">
        <f t="shared" si="15"/>
        <v>276278.78399999999</v>
      </c>
    </row>
    <row r="51" spans="2:21">
      <c r="B51" t="s">
        <v>886</v>
      </c>
      <c r="C51">
        <v>1080</v>
      </c>
      <c r="D51" t="s">
        <v>887</v>
      </c>
      <c r="E51">
        <v>189845</v>
      </c>
      <c r="G51">
        <v>2017</v>
      </c>
      <c r="H51">
        <v>11</v>
      </c>
      <c r="I51">
        <v>0</v>
      </c>
      <c r="J51" t="s">
        <v>30</v>
      </c>
      <c r="K51">
        <v>10</v>
      </c>
      <c r="L51">
        <f t="shared" si="21"/>
        <v>2027</v>
      </c>
      <c r="M51" s="27">
        <f t="shared" si="16"/>
        <v>2027.9166666666667</v>
      </c>
      <c r="N51" s="5">
        <v>230038.72</v>
      </c>
      <c r="O51" s="5">
        <f t="shared" si="17"/>
        <v>230038.72</v>
      </c>
      <c r="P51" s="5">
        <f t="shared" si="18"/>
        <v>1916.9893333333332</v>
      </c>
      <c r="Q51" s="5">
        <f t="shared" si="19"/>
        <v>23003.871999999999</v>
      </c>
      <c r="R51" s="5">
        <f t="shared" si="12"/>
        <v>23003.871999999999</v>
      </c>
      <c r="S51" s="5">
        <f t="shared" si="13"/>
        <v>23003.871999999999</v>
      </c>
      <c r="T51" s="5">
        <f t="shared" si="14"/>
        <v>46007.743999999999</v>
      </c>
      <c r="U51" s="5">
        <f t="shared" si="15"/>
        <v>184030.976</v>
      </c>
    </row>
    <row r="52" spans="2:21">
      <c r="B52" t="s">
        <v>623</v>
      </c>
      <c r="C52">
        <v>2049</v>
      </c>
      <c r="D52" t="s">
        <v>865</v>
      </c>
      <c r="E52">
        <v>189842</v>
      </c>
      <c r="G52">
        <v>2017</v>
      </c>
      <c r="H52">
        <v>11</v>
      </c>
      <c r="I52">
        <v>0</v>
      </c>
      <c r="J52" t="s">
        <v>30</v>
      </c>
      <c r="K52">
        <v>10</v>
      </c>
      <c r="L52">
        <f t="shared" si="21"/>
        <v>2027</v>
      </c>
      <c r="M52" s="27">
        <f t="shared" si="16"/>
        <v>2027.9166666666667</v>
      </c>
      <c r="N52" s="5">
        <v>318612.62</v>
      </c>
      <c r="O52" s="5">
        <f t="shared" ref="O52:O57" si="22">N52-N52*I52</f>
        <v>318612.62</v>
      </c>
      <c r="P52" s="5">
        <f t="shared" ref="P52:P57" si="23">O52/K52/12</f>
        <v>2655.1051666666667</v>
      </c>
      <c r="Q52" s="5">
        <f t="shared" si="19"/>
        <v>31861.262000000002</v>
      </c>
      <c r="R52" s="5">
        <f t="shared" ref="R52:R79" si="24">+IF(M52&lt;=$O$5,0,IF(L52&gt;$O$4,Q52,(P52*H52)))</f>
        <v>31861.262000000002</v>
      </c>
      <c r="S52" s="5">
        <f t="shared" ref="S52:S79" si="25">+IF(R52=0,N52,IF($O$3-G52&lt;1,0,(($O$3-G52)*Q52)))</f>
        <v>31861.262000000002</v>
      </c>
      <c r="T52" s="5">
        <f t="shared" ref="T52:T79" si="26">+IF(R52=0,S52,S52+R52)</f>
        <v>63722.524000000005</v>
      </c>
      <c r="U52" s="5">
        <f t="shared" ref="U52:U79" si="27">+N52-T52</f>
        <v>254890.09599999999</v>
      </c>
    </row>
    <row r="53" spans="2:21">
      <c r="B53" t="s">
        <v>886</v>
      </c>
      <c r="C53">
        <v>1081</v>
      </c>
      <c r="D53" t="s">
        <v>887</v>
      </c>
      <c r="E53" t="s">
        <v>895</v>
      </c>
      <c r="G53">
        <v>2017</v>
      </c>
      <c r="H53">
        <v>10</v>
      </c>
      <c r="I53">
        <v>0</v>
      </c>
      <c r="J53" t="s">
        <v>30</v>
      </c>
      <c r="K53">
        <v>10</v>
      </c>
      <c r="L53">
        <f t="shared" si="21"/>
        <v>2027</v>
      </c>
      <c r="M53" s="27">
        <f t="shared" si="16"/>
        <v>2027.8333333333333</v>
      </c>
      <c r="N53" s="5">
        <v>227561.93</v>
      </c>
      <c r="O53" s="5">
        <f t="shared" si="22"/>
        <v>227561.93</v>
      </c>
      <c r="P53" s="5">
        <f t="shared" si="23"/>
        <v>1896.3494166666667</v>
      </c>
      <c r="Q53" s="5">
        <f t="shared" si="19"/>
        <v>22756.192999999999</v>
      </c>
      <c r="R53" s="5">
        <f t="shared" si="24"/>
        <v>22756.192999999999</v>
      </c>
      <c r="S53" s="5">
        <f t="shared" si="25"/>
        <v>22756.192999999999</v>
      </c>
      <c r="T53" s="5">
        <f t="shared" si="26"/>
        <v>45512.385999999999</v>
      </c>
      <c r="U53" s="5">
        <f t="shared" si="27"/>
        <v>182049.54399999999</v>
      </c>
    </row>
    <row r="54" spans="2:21">
      <c r="B54" t="s">
        <v>886</v>
      </c>
      <c r="C54">
        <v>1081</v>
      </c>
      <c r="D54" t="s">
        <v>893</v>
      </c>
      <c r="E54">
        <v>189409</v>
      </c>
      <c r="F54">
        <v>187603</v>
      </c>
      <c r="G54">
        <v>2017</v>
      </c>
      <c r="H54">
        <v>10</v>
      </c>
      <c r="I54">
        <v>0</v>
      </c>
      <c r="J54" t="s">
        <v>30</v>
      </c>
      <c r="K54">
        <v>5</v>
      </c>
      <c r="L54">
        <f t="shared" si="21"/>
        <v>2022</v>
      </c>
      <c r="M54" s="27">
        <f t="shared" si="16"/>
        <v>2022.8333333333333</v>
      </c>
      <c r="N54" s="5">
        <v>470.89</v>
      </c>
      <c r="O54" s="5">
        <f t="shared" si="22"/>
        <v>470.89</v>
      </c>
      <c r="P54" s="5">
        <f t="shared" si="23"/>
        <v>7.8481666666666667</v>
      </c>
      <c r="Q54" s="5">
        <f t="shared" si="19"/>
        <v>94.177999999999997</v>
      </c>
      <c r="R54" s="5">
        <f t="shared" si="24"/>
        <v>94.177999999999997</v>
      </c>
      <c r="S54" s="5">
        <f t="shared" si="25"/>
        <v>94.177999999999997</v>
      </c>
      <c r="T54" s="5">
        <f t="shared" si="26"/>
        <v>188.35599999999999</v>
      </c>
      <c r="U54" s="5">
        <f t="shared" si="27"/>
        <v>282.53399999999999</v>
      </c>
    </row>
    <row r="55" spans="2:21">
      <c r="B55" t="s">
        <v>886</v>
      </c>
      <c r="C55">
        <v>1081</v>
      </c>
      <c r="D55" t="s">
        <v>894</v>
      </c>
      <c r="E55">
        <v>188505</v>
      </c>
      <c r="F55">
        <v>187603</v>
      </c>
      <c r="G55">
        <v>2017</v>
      </c>
      <c r="H55">
        <v>10</v>
      </c>
      <c r="I55">
        <v>0</v>
      </c>
      <c r="J55" t="s">
        <v>30</v>
      </c>
      <c r="K55">
        <v>5</v>
      </c>
      <c r="L55">
        <f t="shared" si="21"/>
        <v>2022</v>
      </c>
      <c r="M55" s="27">
        <f t="shared" si="16"/>
        <v>2022.8333333333333</v>
      </c>
      <c r="N55" s="5">
        <v>995.61</v>
      </c>
      <c r="O55" s="5">
        <f t="shared" si="22"/>
        <v>995.61</v>
      </c>
      <c r="P55" s="5">
        <f t="shared" si="23"/>
        <v>16.593500000000002</v>
      </c>
      <c r="Q55" s="5">
        <f t="shared" si="19"/>
        <v>199.12200000000001</v>
      </c>
      <c r="R55" s="5">
        <f t="shared" si="24"/>
        <v>199.12200000000001</v>
      </c>
      <c r="S55" s="5">
        <f t="shared" si="25"/>
        <v>199.12200000000001</v>
      </c>
      <c r="T55" s="5">
        <f t="shared" si="26"/>
        <v>398.24400000000003</v>
      </c>
      <c r="U55" s="5">
        <f t="shared" si="27"/>
        <v>597.36599999999999</v>
      </c>
    </row>
    <row r="56" spans="2:21">
      <c r="B56" t="s">
        <v>342</v>
      </c>
      <c r="C56">
        <v>3667</v>
      </c>
      <c r="D56" t="s">
        <v>919</v>
      </c>
      <c r="E56">
        <v>191849</v>
      </c>
      <c r="F56">
        <v>189847</v>
      </c>
      <c r="G56">
        <v>2018</v>
      </c>
      <c r="H56">
        <v>1</v>
      </c>
      <c r="I56">
        <v>0</v>
      </c>
      <c r="J56" t="s">
        <v>30</v>
      </c>
      <c r="K56">
        <v>10</v>
      </c>
      <c r="L56">
        <f t="shared" si="21"/>
        <v>2028</v>
      </c>
      <c r="M56" s="27">
        <f t="shared" si="16"/>
        <v>2028.0833333333333</v>
      </c>
      <c r="N56" s="5">
        <v>1069.3900000000001</v>
      </c>
      <c r="O56" s="5">
        <f t="shared" si="22"/>
        <v>1069.3900000000001</v>
      </c>
      <c r="P56" s="5">
        <f t="shared" si="23"/>
        <v>8.9115833333333345</v>
      </c>
      <c r="Q56" s="5">
        <f t="shared" si="19"/>
        <v>106.93900000000002</v>
      </c>
      <c r="R56" s="5">
        <f t="shared" si="24"/>
        <v>106.93900000000002</v>
      </c>
      <c r="S56" s="5">
        <f t="shared" si="25"/>
        <v>0</v>
      </c>
      <c r="T56" s="5">
        <f t="shared" si="26"/>
        <v>106.93900000000002</v>
      </c>
      <c r="U56" s="5">
        <f t="shared" si="27"/>
        <v>962.45100000000002</v>
      </c>
    </row>
    <row r="57" spans="2:21">
      <c r="B57" t="s">
        <v>342</v>
      </c>
      <c r="C57">
        <v>3668</v>
      </c>
      <c r="D57" t="s">
        <v>920</v>
      </c>
      <c r="E57">
        <v>191850</v>
      </c>
      <c r="F57">
        <v>189848</v>
      </c>
      <c r="G57">
        <v>2018</v>
      </c>
      <c r="H57">
        <v>1</v>
      </c>
      <c r="I57">
        <v>0</v>
      </c>
      <c r="J57" t="s">
        <v>30</v>
      </c>
      <c r="K57">
        <v>10</v>
      </c>
      <c r="L57">
        <f t="shared" si="21"/>
        <v>2028</v>
      </c>
      <c r="M57" s="27">
        <f t="shared" si="16"/>
        <v>2028.0833333333333</v>
      </c>
      <c r="N57" s="5">
        <v>1069.3900000000001</v>
      </c>
      <c r="O57" s="5">
        <f t="shared" si="22"/>
        <v>1069.3900000000001</v>
      </c>
      <c r="P57" s="5">
        <f t="shared" si="23"/>
        <v>8.9115833333333345</v>
      </c>
      <c r="Q57" s="5">
        <f>P57*12</f>
        <v>106.93900000000002</v>
      </c>
      <c r="R57" s="5">
        <f t="shared" si="24"/>
        <v>106.93900000000002</v>
      </c>
      <c r="S57" s="5">
        <f t="shared" si="25"/>
        <v>0</v>
      </c>
      <c r="T57" s="5">
        <f t="shared" si="26"/>
        <v>106.93900000000002</v>
      </c>
      <c r="U57" s="5">
        <f t="shared" si="27"/>
        <v>962.45100000000002</v>
      </c>
    </row>
    <row r="58" spans="2:21">
      <c r="B58" t="s">
        <v>623</v>
      </c>
      <c r="C58">
        <v>2052</v>
      </c>
      <c r="D58" t="s">
        <v>1062</v>
      </c>
      <c r="E58">
        <v>206402</v>
      </c>
      <c r="F58">
        <v>204185</v>
      </c>
      <c r="G58">
        <v>2018</v>
      </c>
      <c r="H58">
        <v>10</v>
      </c>
      <c r="I58">
        <v>0</v>
      </c>
      <c r="J58" t="s">
        <v>30</v>
      </c>
      <c r="K58">
        <v>10</v>
      </c>
      <c r="L58">
        <f>G58+K58</f>
        <v>2028</v>
      </c>
      <c r="M58" s="27">
        <f>+L58+(H58/12)</f>
        <v>2028.8333333333333</v>
      </c>
      <c r="N58" s="5">
        <v>576.75</v>
      </c>
      <c r="O58" s="5">
        <f>N58-N58*I58</f>
        <v>576.75</v>
      </c>
      <c r="P58" s="5">
        <f>O58/K58/12</f>
        <v>4.8062499999999995</v>
      </c>
      <c r="Q58" s="5">
        <f t="shared" ref="Q58:Q79" si="28">P58*12</f>
        <v>57.674999999999997</v>
      </c>
      <c r="R58" s="5">
        <f t="shared" si="24"/>
        <v>57.674999999999997</v>
      </c>
      <c r="S58" s="5">
        <f t="shared" si="25"/>
        <v>0</v>
      </c>
      <c r="T58" s="5">
        <f t="shared" si="26"/>
        <v>57.674999999999997</v>
      </c>
      <c r="U58" s="5">
        <f t="shared" si="27"/>
        <v>519.07500000000005</v>
      </c>
    </row>
    <row r="59" spans="2:21">
      <c r="B59" t="s">
        <v>623</v>
      </c>
      <c r="C59">
        <v>2051</v>
      </c>
      <c r="D59" t="s">
        <v>1062</v>
      </c>
      <c r="E59">
        <v>206401</v>
      </c>
      <c r="F59">
        <v>204190</v>
      </c>
      <c r="G59">
        <v>2018</v>
      </c>
      <c r="H59">
        <v>10</v>
      </c>
      <c r="I59">
        <v>0</v>
      </c>
      <c r="J59" t="s">
        <v>30</v>
      </c>
      <c r="K59">
        <v>10</v>
      </c>
      <c r="L59">
        <f>G59+K59</f>
        <v>2028</v>
      </c>
      <c r="M59" s="27">
        <f>+L59+(H59/12)</f>
        <v>2028.8333333333333</v>
      </c>
      <c r="N59" s="5">
        <v>576.75</v>
      </c>
      <c r="O59" s="5">
        <f>N59-N59*I59</f>
        <v>576.75</v>
      </c>
      <c r="P59" s="5">
        <f>O59/K59/12</f>
        <v>4.8062499999999995</v>
      </c>
      <c r="Q59" s="5">
        <f t="shared" si="28"/>
        <v>57.674999999999997</v>
      </c>
      <c r="R59" s="5">
        <f t="shared" si="24"/>
        <v>57.674999999999997</v>
      </c>
      <c r="S59" s="5">
        <f t="shared" si="25"/>
        <v>0</v>
      </c>
      <c r="T59" s="5">
        <f t="shared" si="26"/>
        <v>57.674999999999997</v>
      </c>
      <c r="U59" s="5">
        <f t="shared" si="27"/>
        <v>519.07500000000005</v>
      </c>
    </row>
    <row r="60" spans="2:21">
      <c r="B60" t="s">
        <v>623</v>
      </c>
      <c r="C60">
        <v>2052</v>
      </c>
      <c r="D60" t="s">
        <v>1061</v>
      </c>
      <c r="E60">
        <v>204185</v>
      </c>
      <c r="F60" t="s">
        <v>372</v>
      </c>
      <c r="G60">
        <v>2018</v>
      </c>
      <c r="H60">
        <v>10</v>
      </c>
      <c r="I60">
        <v>0</v>
      </c>
      <c r="J60" t="s">
        <v>30</v>
      </c>
      <c r="K60">
        <v>10</v>
      </c>
      <c r="L60">
        <f>G60+K60</f>
        <v>2028</v>
      </c>
      <c r="M60" s="27">
        <f>+L60+(H60/12)</f>
        <v>2028.8333333333333</v>
      </c>
      <c r="N60" s="5">
        <v>336121.76</v>
      </c>
      <c r="O60" s="5">
        <f>N60-N60*I60</f>
        <v>336121.76</v>
      </c>
      <c r="P60" s="5">
        <f>O60/K60/12</f>
        <v>2801.0146666666665</v>
      </c>
      <c r="Q60" s="5">
        <f t="shared" si="28"/>
        <v>33612.175999999999</v>
      </c>
      <c r="R60" s="5">
        <f t="shared" si="24"/>
        <v>33612.175999999999</v>
      </c>
      <c r="S60" s="5">
        <f t="shared" si="25"/>
        <v>0</v>
      </c>
      <c r="T60" s="5">
        <f t="shared" si="26"/>
        <v>33612.175999999999</v>
      </c>
      <c r="U60" s="5">
        <f t="shared" si="27"/>
        <v>302509.58400000003</v>
      </c>
    </row>
    <row r="61" spans="2:21">
      <c r="B61" t="s">
        <v>623</v>
      </c>
      <c r="C61">
        <v>2051</v>
      </c>
      <c r="D61" t="s">
        <v>1061</v>
      </c>
      <c r="E61">
        <v>204190</v>
      </c>
      <c r="F61" t="s">
        <v>372</v>
      </c>
      <c r="G61">
        <v>2018</v>
      </c>
      <c r="H61">
        <v>10</v>
      </c>
      <c r="I61">
        <v>0</v>
      </c>
      <c r="J61" t="s">
        <v>30</v>
      </c>
      <c r="K61">
        <v>10</v>
      </c>
      <c r="L61">
        <f t="shared" ref="L61:L75" si="29">G61+K61</f>
        <v>2028</v>
      </c>
      <c r="M61" s="27">
        <f t="shared" ref="M61:M75" si="30">+L61+(H61/12)</f>
        <v>2028.8333333333333</v>
      </c>
      <c r="N61" s="5">
        <v>336121.76</v>
      </c>
      <c r="O61" s="5">
        <f>N61-N61*I61</f>
        <v>336121.76</v>
      </c>
      <c r="P61" s="5">
        <f>O61/K61/12</f>
        <v>2801.0146666666665</v>
      </c>
      <c r="Q61" s="5">
        <f t="shared" si="28"/>
        <v>33612.175999999999</v>
      </c>
      <c r="R61" s="5">
        <f t="shared" si="24"/>
        <v>33612.175999999999</v>
      </c>
      <c r="S61" s="5">
        <f t="shared" si="25"/>
        <v>0</v>
      </c>
      <c r="T61" s="5">
        <f t="shared" si="26"/>
        <v>33612.175999999999</v>
      </c>
      <c r="U61" s="5">
        <f t="shared" si="27"/>
        <v>302509.58400000003</v>
      </c>
    </row>
    <row r="62" spans="2:21">
      <c r="B62" t="s">
        <v>342</v>
      </c>
      <c r="C62">
        <v>3676</v>
      </c>
      <c r="D62" t="s">
        <v>1044</v>
      </c>
      <c r="E62">
        <v>202086</v>
      </c>
      <c r="F62" t="s">
        <v>372</v>
      </c>
      <c r="G62">
        <v>2018</v>
      </c>
      <c r="H62">
        <v>10</v>
      </c>
      <c r="I62">
        <v>0</v>
      </c>
      <c r="J62" t="s">
        <v>30</v>
      </c>
      <c r="K62">
        <v>10</v>
      </c>
      <c r="L62">
        <f t="shared" si="29"/>
        <v>2028</v>
      </c>
      <c r="M62" s="27">
        <f t="shared" si="30"/>
        <v>2028.8333333333333</v>
      </c>
      <c r="N62" s="5">
        <v>349260.85</v>
      </c>
      <c r="O62" s="5">
        <f t="shared" ref="O62:O75" si="31">N62-N62*I62</f>
        <v>349260.85</v>
      </c>
      <c r="P62" s="5">
        <f t="shared" ref="P62:P75" si="32">O62/K62/12</f>
        <v>2910.5070833333334</v>
      </c>
      <c r="Q62" s="5">
        <f t="shared" si="28"/>
        <v>34926.084999999999</v>
      </c>
      <c r="R62" s="5">
        <f t="shared" si="24"/>
        <v>34926.084999999999</v>
      </c>
      <c r="S62" s="5">
        <f t="shared" si="25"/>
        <v>0</v>
      </c>
      <c r="T62" s="5">
        <f t="shared" si="26"/>
        <v>34926.084999999999</v>
      </c>
      <c r="U62" s="5">
        <f t="shared" si="27"/>
        <v>314334.76499999996</v>
      </c>
    </row>
    <row r="63" spans="2:21">
      <c r="B63" t="s">
        <v>342</v>
      </c>
      <c r="C63">
        <v>3679</v>
      </c>
      <c r="D63" t="s">
        <v>1044</v>
      </c>
      <c r="E63">
        <v>202088</v>
      </c>
      <c r="F63" t="s">
        <v>372</v>
      </c>
      <c r="G63">
        <v>2018</v>
      </c>
      <c r="H63">
        <v>10</v>
      </c>
      <c r="I63">
        <v>0</v>
      </c>
      <c r="J63" t="s">
        <v>30</v>
      </c>
      <c r="K63">
        <v>10</v>
      </c>
      <c r="L63">
        <f t="shared" si="29"/>
        <v>2028</v>
      </c>
      <c r="M63" s="27">
        <f t="shared" si="30"/>
        <v>2028.8333333333333</v>
      </c>
      <c r="N63" s="5">
        <v>349200.72</v>
      </c>
      <c r="O63" s="5">
        <f t="shared" si="31"/>
        <v>349200.72</v>
      </c>
      <c r="P63" s="5">
        <f t="shared" si="32"/>
        <v>2910.0059999999999</v>
      </c>
      <c r="Q63" s="5">
        <f t="shared" si="28"/>
        <v>34920.072</v>
      </c>
      <c r="R63" s="5">
        <f t="shared" si="24"/>
        <v>34920.072</v>
      </c>
      <c r="S63" s="5">
        <f t="shared" si="25"/>
        <v>0</v>
      </c>
      <c r="T63" s="5">
        <f t="shared" si="26"/>
        <v>34920.072</v>
      </c>
      <c r="U63" s="5">
        <f t="shared" si="27"/>
        <v>314280.64799999999</v>
      </c>
    </row>
    <row r="64" spans="2:21">
      <c r="B64" t="s">
        <v>342</v>
      </c>
      <c r="C64">
        <v>3680</v>
      </c>
      <c r="D64" t="s">
        <v>1044</v>
      </c>
      <c r="E64">
        <v>202089</v>
      </c>
      <c r="F64" t="s">
        <v>372</v>
      </c>
      <c r="G64">
        <v>2018</v>
      </c>
      <c r="H64">
        <v>10</v>
      </c>
      <c r="I64">
        <v>0</v>
      </c>
      <c r="J64" t="s">
        <v>30</v>
      </c>
      <c r="K64">
        <v>10</v>
      </c>
      <c r="L64">
        <f t="shared" si="29"/>
        <v>2028</v>
      </c>
      <c r="M64" s="27">
        <f t="shared" si="30"/>
        <v>2028.8333333333333</v>
      </c>
      <c r="N64" s="5">
        <v>349200.73</v>
      </c>
      <c r="O64" s="5">
        <f t="shared" si="31"/>
        <v>349200.73</v>
      </c>
      <c r="P64" s="5">
        <f t="shared" si="32"/>
        <v>2910.0060833333332</v>
      </c>
      <c r="Q64" s="5">
        <f t="shared" si="28"/>
        <v>34920.072999999997</v>
      </c>
      <c r="R64" s="5">
        <f t="shared" si="24"/>
        <v>34920.072999999997</v>
      </c>
      <c r="S64" s="5">
        <f t="shared" si="25"/>
        <v>0</v>
      </c>
      <c r="T64" s="5">
        <f t="shared" si="26"/>
        <v>34920.072999999997</v>
      </c>
      <c r="U64" s="5">
        <f t="shared" si="27"/>
        <v>314280.65700000001</v>
      </c>
    </row>
    <row r="65" spans="2:21">
      <c r="B65" t="s">
        <v>342</v>
      </c>
      <c r="C65">
        <v>3680</v>
      </c>
      <c r="D65" t="s">
        <v>1046</v>
      </c>
      <c r="E65">
        <v>202804</v>
      </c>
      <c r="F65">
        <v>202089</v>
      </c>
      <c r="G65">
        <v>2018</v>
      </c>
      <c r="H65">
        <v>10</v>
      </c>
      <c r="I65">
        <v>0</v>
      </c>
      <c r="J65" t="s">
        <v>30</v>
      </c>
      <c r="K65">
        <v>10</v>
      </c>
      <c r="L65">
        <f t="shared" si="29"/>
        <v>2028</v>
      </c>
      <c r="M65" s="27">
        <f t="shared" si="30"/>
        <v>2028.8333333333333</v>
      </c>
      <c r="N65" s="5">
        <v>628.75</v>
      </c>
      <c r="O65" s="5">
        <f t="shared" si="31"/>
        <v>628.75</v>
      </c>
      <c r="P65" s="5">
        <f t="shared" si="32"/>
        <v>5.239583333333333</v>
      </c>
      <c r="Q65" s="5">
        <f t="shared" si="28"/>
        <v>62.875</v>
      </c>
      <c r="R65" s="5">
        <f t="shared" si="24"/>
        <v>62.875</v>
      </c>
      <c r="S65" s="5">
        <f t="shared" si="25"/>
        <v>0</v>
      </c>
      <c r="T65" s="5">
        <f t="shared" si="26"/>
        <v>62.875</v>
      </c>
      <c r="U65" s="5">
        <f t="shared" si="27"/>
        <v>565.875</v>
      </c>
    </row>
    <row r="66" spans="2:21">
      <c r="B66" t="s">
        <v>342</v>
      </c>
      <c r="C66">
        <v>3675</v>
      </c>
      <c r="D66" t="s">
        <v>1044</v>
      </c>
      <c r="E66">
        <v>203123</v>
      </c>
      <c r="F66" t="s">
        <v>372</v>
      </c>
      <c r="G66">
        <v>2018</v>
      </c>
      <c r="H66">
        <v>10</v>
      </c>
      <c r="I66">
        <v>0</v>
      </c>
      <c r="J66" t="s">
        <v>30</v>
      </c>
      <c r="K66">
        <v>10</v>
      </c>
      <c r="L66">
        <f t="shared" si="29"/>
        <v>2028</v>
      </c>
      <c r="M66" s="27">
        <f t="shared" si="30"/>
        <v>2028.8333333333333</v>
      </c>
      <c r="N66" s="5">
        <v>349277.23</v>
      </c>
      <c r="O66" s="5">
        <f t="shared" si="31"/>
        <v>349277.23</v>
      </c>
      <c r="P66" s="5">
        <f t="shared" si="32"/>
        <v>2910.643583333333</v>
      </c>
      <c r="Q66" s="5">
        <f t="shared" si="28"/>
        <v>34927.722999999998</v>
      </c>
      <c r="R66" s="5">
        <f t="shared" si="24"/>
        <v>34927.722999999998</v>
      </c>
      <c r="S66" s="5">
        <f t="shared" si="25"/>
        <v>0</v>
      </c>
      <c r="T66" s="5">
        <f t="shared" si="26"/>
        <v>34927.722999999998</v>
      </c>
      <c r="U66" s="5">
        <f t="shared" si="27"/>
        <v>314349.50699999998</v>
      </c>
    </row>
    <row r="67" spans="2:21">
      <c r="B67" t="s">
        <v>342</v>
      </c>
      <c r="C67">
        <v>3675</v>
      </c>
      <c r="D67" t="s">
        <v>1053</v>
      </c>
      <c r="E67">
        <v>203761</v>
      </c>
      <c r="F67">
        <v>203123</v>
      </c>
      <c r="G67">
        <v>2018</v>
      </c>
      <c r="H67">
        <v>10</v>
      </c>
      <c r="I67">
        <v>0</v>
      </c>
      <c r="J67" t="s">
        <v>30</v>
      </c>
      <c r="K67">
        <v>10</v>
      </c>
      <c r="L67">
        <f t="shared" si="29"/>
        <v>2028</v>
      </c>
      <c r="M67" s="27">
        <f t="shared" si="30"/>
        <v>2028.8333333333333</v>
      </c>
      <c r="N67" s="5">
        <v>628.75</v>
      </c>
      <c r="O67" s="5">
        <f t="shared" si="31"/>
        <v>628.75</v>
      </c>
      <c r="P67" s="5">
        <f t="shared" si="32"/>
        <v>5.239583333333333</v>
      </c>
      <c r="Q67" s="5">
        <f t="shared" si="28"/>
        <v>62.875</v>
      </c>
      <c r="R67" s="5">
        <f t="shared" si="24"/>
        <v>62.875</v>
      </c>
      <c r="S67" s="5">
        <f t="shared" si="25"/>
        <v>0</v>
      </c>
      <c r="T67" s="5">
        <f t="shared" si="26"/>
        <v>62.875</v>
      </c>
      <c r="U67" s="5">
        <f t="shared" si="27"/>
        <v>565.875</v>
      </c>
    </row>
    <row r="68" spans="2:21">
      <c r="B68" t="s">
        <v>342</v>
      </c>
      <c r="C68">
        <v>3682</v>
      </c>
      <c r="D68" t="s">
        <v>1044</v>
      </c>
      <c r="E68">
        <v>203827</v>
      </c>
      <c r="F68" t="s">
        <v>372</v>
      </c>
      <c r="G68">
        <v>2018</v>
      </c>
      <c r="H68">
        <v>10</v>
      </c>
      <c r="I68">
        <v>0</v>
      </c>
      <c r="J68" t="s">
        <v>30</v>
      </c>
      <c r="K68">
        <v>10</v>
      </c>
      <c r="L68">
        <f t="shared" si="29"/>
        <v>2028</v>
      </c>
      <c r="M68" s="27">
        <f t="shared" si="30"/>
        <v>2028.8333333333333</v>
      </c>
      <c r="N68" s="5">
        <v>349200.73</v>
      </c>
      <c r="O68" s="5">
        <f t="shared" si="31"/>
        <v>349200.73</v>
      </c>
      <c r="P68" s="5">
        <f t="shared" si="32"/>
        <v>2910.0060833333332</v>
      </c>
      <c r="Q68" s="5">
        <f t="shared" si="28"/>
        <v>34920.072999999997</v>
      </c>
      <c r="R68" s="5">
        <f t="shared" si="24"/>
        <v>34920.072999999997</v>
      </c>
      <c r="S68" s="5">
        <f t="shared" si="25"/>
        <v>0</v>
      </c>
      <c r="T68" s="5">
        <f t="shared" si="26"/>
        <v>34920.072999999997</v>
      </c>
      <c r="U68" s="5">
        <f t="shared" si="27"/>
        <v>314280.65700000001</v>
      </c>
    </row>
    <row r="69" spans="2:21">
      <c r="B69" t="s">
        <v>342</v>
      </c>
      <c r="C69">
        <v>3682</v>
      </c>
      <c r="D69" t="s">
        <v>1056</v>
      </c>
      <c r="E69">
        <v>204165</v>
      </c>
      <c r="F69">
        <v>203827</v>
      </c>
      <c r="G69">
        <v>2018</v>
      </c>
      <c r="H69">
        <v>10</v>
      </c>
      <c r="I69">
        <v>0</v>
      </c>
      <c r="J69" t="s">
        <v>30</v>
      </c>
      <c r="K69">
        <v>10</v>
      </c>
      <c r="L69">
        <f t="shared" si="29"/>
        <v>2028</v>
      </c>
      <c r="M69" s="27">
        <f t="shared" si="30"/>
        <v>2028.8333333333333</v>
      </c>
      <c r="N69" s="5">
        <v>628.75</v>
      </c>
      <c r="O69" s="5">
        <f t="shared" si="31"/>
        <v>628.75</v>
      </c>
      <c r="P69" s="5">
        <f t="shared" si="32"/>
        <v>5.239583333333333</v>
      </c>
      <c r="Q69" s="5">
        <f t="shared" si="28"/>
        <v>62.875</v>
      </c>
      <c r="R69" s="5">
        <f t="shared" si="24"/>
        <v>62.875</v>
      </c>
      <c r="S69" s="5">
        <f t="shared" si="25"/>
        <v>0</v>
      </c>
      <c r="T69" s="5">
        <f t="shared" si="26"/>
        <v>62.875</v>
      </c>
      <c r="U69" s="5">
        <f t="shared" si="27"/>
        <v>565.875</v>
      </c>
    </row>
    <row r="70" spans="2:21">
      <c r="B70" t="s">
        <v>342</v>
      </c>
      <c r="C70">
        <v>3683</v>
      </c>
      <c r="D70" t="s">
        <v>1044</v>
      </c>
      <c r="E70">
        <v>203828</v>
      </c>
      <c r="F70" t="s">
        <v>372</v>
      </c>
      <c r="G70">
        <v>2018</v>
      </c>
      <c r="H70">
        <v>10</v>
      </c>
      <c r="I70">
        <v>0</v>
      </c>
      <c r="J70" t="s">
        <v>30</v>
      </c>
      <c r="K70">
        <v>10</v>
      </c>
      <c r="L70">
        <f t="shared" si="29"/>
        <v>2028</v>
      </c>
      <c r="M70" s="27">
        <f t="shared" si="30"/>
        <v>2028.8333333333333</v>
      </c>
      <c r="N70" s="5">
        <v>349200.73</v>
      </c>
      <c r="O70" s="5">
        <f t="shared" si="31"/>
        <v>349200.73</v>
      </c>
      <c r="P70" s="5">
        <f t="shared" si="32"/>
        <v>2910.0060833333332</v>
      </c>
      <c r="Q70" s="5">
        <f t="shared" si="28"/>
        <v>34920.072999999997</v>
      </c>
      <c r="R70" s="5">
        <f t="shared" si="24"/>
        <v>34920.072999999997</v>
      </c>
      <c r="S70" s="5">
        <f t="shared" si="25"/>
        <v>0</v>
      </c>
      <c r="T70" s="5">
        <f t="shared" si="26"/>
        <v>34920.072999999997</v>
      </c>
      <c r="U70" s="5">
        <f t="shared" si="27"/>
        <v>314280.65700000001</v>
      </c>
    </row>
    <row r="71" spans="2:21">
      <c r="B71" t="s">
        <v>342</v>
      </c>
      <c r="C71">
        <v>3683</v>
      </c>
      <c r="D71" t="s">
        <v>1057</v>
      </c>
      <c r="E71">
        <v>204166</v>
      </c>
      <c r="F71">
        <v>203828</v>
      </c>
      <c r="G71">
        <v>2018</v>
      </c>
      <c r="H71">
        <v>10</v>
      </c>
      <c r="I71">
        <v>0</v>
      </c>
      <c r="J71" t="s">
        <v>30</v>
      </c>
      <c r="K71">
        <v>10</v>
      </c>
      <c r="L71">
        <f t="shared" si="29"/>
        <v>2028</v>
      </c>
      <c r="M71" s="27">
        <f t="shared" si="30"/>
        <v>2028.8333333333333</v>
      </c>
      <c r="N71" s="5">
        <v>628.75</v>
      </c>
      <c r="O71" s="5">
        <f t="shared" si="31"/>
        <v>628.75</v>
      </c>
      <c r="P71" s="5">
        <f t="shared" si="32"/>
        <v>5.239583333333333</v>
      </c>
      <c r="Q71" s="5">
        <f t="shared" si="28"/>
        <v>62.875</v>
      </c>
      <c r="R71" s="5">
        <f t="shared" si="24"/>
        <v>62.875</v>
      </c>
      <c r="S71" s="5">
        <f t="shared" si="25"/>
        <v>0</v>
      </c>
      <c r="T71" s="5">
        <f t="shared" si="26"/>
        <v>62.875</v>
      </c>
      <c r="U71" s="5">
        <f t="shared" si="27"/>
        <v>565.875</v>
      </c>
    </row>
    <row r="72" spans="2:21">
      <c r="B72" t="s">
        <v>342</v>
      </c>
      <c r="C72">
        <v>3681</v>
      </c>
      <c r="D72" t="s">
        <v>1044</v>
      </c>
      <c r="E72">
        <v>204188</v>
      </c>
      <c r="F72" t="s">
        <v>372</v>
      </c>
      <c r="G72">
        <v>2018</v>
      </c>
      <c r="H72">
        <v>10</v>
      </c>
      <c r="I72">
        <v>0</v>
      </c>
      <c r="J72" t="s">
        <v>30</v>
      </c>
      <c r="K72">
        <v>10</v>
      </c>
      <c r="L72">
        <f t="shared" si="29"/>
        <v>2028</v>
      </c>
      <c r="M72" s="27">
        <f t="shared" si="30"/>
        <v>2028.8333333333333</v>
      </c>
      <c r="N72" s="5">
        <v>349200.73</v>
      </c>
      <c r="O72" s="5">
        <f t="shared" si="31"/>
        <v>349200.73</v>
      </c>
      <c r="P72" s="5">
        <f t="shared" si="32"/>
        <v>2910.0060833333332</v>
      </c>
      <c r="Q72" s="5">
        <f t="shared" si="28"/>
        <v>34920.072999999997</v>
      </c>
      <c r="R72" s="5">
        <f t="shared" si="24"/>
        <v>34920.072999999997</v>
      </c>
      <c r="S72" s="5">
        <f t="shared" si="25"/>
        <v>0</v>
      </c>
      <c r="T72" s="5">
        <f t="shared" si="26"/>
        <v>34920.072999999997</v>
      </c>
      <c r="U72" s="5">
        <f t="shared" si="27"/>
        <v>314280.65700000001</v>
      </c>
    </row>
    <row r="73" spans="2:21">
      <c r="B73" t="s">
        <v>342</v>
      </c>
      <c r="C73">
        <v>3681</v>
      </c>
      <c r="D73" t="s">
        <v>1053</v>
      </c>
      <c r="E73">
        <v>206400</v>
      </c>
      <c r="F73">
        <v>204188</v>
      </c>
      <c r="G73">
        <v>2018</v>
      </c>
      <c r="H73">
        <v>10</v>
      </c>
      <c r="I73">
        <v>0</v>
      </c>
      <c r="J73" t="s">
        <v>30</v>
      </c>
      <c r="K73">
        <v>10</v>
      </c>
      <c r="L73">
        <f t="shared" si="29"/>
        <v>2028</v>
      </c>
      <c r="M73" s="27">
        <f t="shared" si="30"/>
        <v>2028.8333333333333</v>
      </c>
      <c r="N73" s="5">
        <v>628.75</v>
      </c>
      <c r="O73" s="5">
        <f t="shared" si="31"/>
        <v>628.75</v>
      </c>
      <c r="P73" s="5">
        <f t="shared" si="32"/>
        <v>5.239583333333333</v>
      </c>
      <c r="Q73" s="5">
        <f t="shared" si="28"/>
        <v>62.875</v>
      </c>
      <c r="R73" s="5">
        <f t="shared" si="24"/>
        <v>62.875</v>
      </c>
      <c r="S73" s="5">
        <f t="shared" si="25"/>
        <v>0</v>
      </c>
      <c r="T73" s="5">
        <f t="shared" si="26"/>
        <v>62.875</v>
      </c>
      <c r="U73" s="5">
        <f t="shared" si="27"/>
        <v>565.875</v>
      </c>
    </row>
    <row r="74" spans="2:21">
      <c r="B74" t="s">
        <v>342</v>
      </c>
      <c r="C74">
        <v>3677</v>
      </c>
      <c r="D74" t="s">
        <v>1044</v>
      </c>
      <c r="E74">
        <v>205326</v>
      </c>
      <c r="F74" t="s">
        <v>372</v>
      </c>
      <c r="G74">
        <v>2018</v>
      </c>
      <c r="H74">
        <v>10</v>
      </c>
      <c r="I74">
        <v>0</v>
      </c>
      <c r="J74" t="s">
        <v>30</v>
      </c>
      <c r="K74">
        <v>10</v>
      </c>
      <c r="L74">
        <f t="shared" si="29"/>
        <v>2028</v>
      </c>
      <c r="M74" s="27">
        <f t="shared" si="30"/>
        <v>2028.8333333333333</v>
      </c>
      <c r="N74" s="5">
        <v>349829.48</v>
      </c>
      <c r="O74" s="5">
        <f t="shared" si="31"/>
        <v>349829.48</v>
      </c>
      <c r="P74" s="5">
        <f t="shared" si="32"/>
        <v>2915.2456666666662</v>
      </c>
      <c r="Q74" s="5">
        <f t="shared" si="28"/>
        <v>34982.947999999997</v>
      </c>
      <c r="R74" s="5">
        <f t="shared" si="24"/>
        <v>34982.947999999997</v>
      </c>
      <c r="S74" s="5">
        <f t="shared" si="25"/>
        <v>0</v>
      </c>
      <c r="T74" s="5">
        <f t="shared" si="26"/>
        <v>34982.947999999997</v>
      </c>
      <c r="U74" s="5">
        <f t="shared" si="27"/>
        <v>314846.53200000001</v>
      </c>
    </row>
    <row r="75" spans="2:21">
      <c r="B75" t="s">
        <v>342</v>
      </c>
      <c r="C75">
        <v>2053</v>
      </c>
      <c r="D75" t="s">
        <v>1044</v>
      </c>
      <c r="E75">
        <v>207236</v>
      </c>
      <c r="F75" t="s">
        <v>372</v>
      </c>
      <c r="G75">
        <v>2018</v>
      </c>
      <c r="H75">
        <v>10</v>
      </c>
      <c r="I75">
        <v>0</v>
      </c>
      <c r="J75" t="s">
        <v>30</v>
      </c>
      <c r="K75">
        <v>10</v>
      </c>
      <c r="L75">
        <f t="shared" si="29"/>
        <v>2028</v>
      </c>
      <c r="M75" s="27">
        <f t="shared" si="30"/>
        <v>2028.8333333333333</v>
      </c>
      <c r="N75" s="5">
        <v>336698.51</v>
      </c>
      <c r="O75" s="5">
        <f t="shared" si="31"/>
        <v>336698.51</v>
      </c>
      <c r="P75" s="5">
        <f t="shared" si="32"/>
        <v>2805.820916666667</v>
      </c>
      <c r="Q75" s="5">
        <f t="shared" si="28"/>
        <v>33669.851000000002</v>
      </c>
      <c r="R75" s="5">
        <f t="shared" si="24"/>
        <v>33669.851000000002</v>
      </c>
      <c r="S75" s="5">
        <f t="shared" si="25"/>
        <v>0</v>
      </c>
      <c r="T75" s="5">
        <f t="shared" si="26"/>
        <v>33669.851000000002</v>
      </c>
      <c r="U75" s="5">
        <f t="shared" si="27"/>
        <v>303028.65899999999</v>
      </c>
    </row>
    <row r="76" spans="2:21">
      <c r="B76" t="s">
        <v>342</v>
      </c>
      <c r="C76">
        <v>3678</v>
      </c>
      <c r="D76" t="s">
        <v>1045</v>
      </c>
      <c r="E76">
        <v>202767</v>
      </c>
      <c r="F76">
        <v>202087</v>
      </c>
      <c r="G76">
        <v>2018</v>
      </c>
      <c r="H76">
        <v>8</v>
      </c>
      <c r="I76">
        <v>0</v>
      </c>
      <c r="J76" t="s">
        <v>30</v>
      </c>
      <c r="K76">
        <v>10</v>
      </c>
      <c r="L76">
        <f t="shared" ref="L76:L84" si="33">G76+K76</f>
        <v>2028</v>
      </c>
      <c r="M76" s="27">
        <f t="shared" ref="M76:M84" si="34">+L76+(H76/12)</f>
        <v>2028.6666666666667</v>
      </c>
      <c r="N76" s="5">
        <v>628.75</v>
      </c>
      <c r="O76" s="5">
        <f t="shared" ref="O76:O84" si="35">N76-N76*I76</f>
        <v>628.75</v>
      </c>
      <c r="P76" s="5">
        <f t="shared" ref="P76:P84" si="36">O76/K76/12</f>
        <v>5.239583333333333</v>
      </c>
      <c r="Q76" s="5">
        <f t="shared" si="28"/>
        <v>62.875</v>
      </c>
      <c r="R76" s="5">
        <f t="shared" si="24"/>
        <v>62.875</v>
      </c>
      <c r="S76" s="5">
        <f t="shared" si="25"/>
        <v>0</v>
      </c>
      <c r="T76" s="5">
        <f t="shared" si="26"/>
        <v>62.875</v>
      </c>
      <c r="U76" s="5">
        <f t="shared" si="27"/>
        <v>565.875</v>
      </c>
    </row>
    <row r="77" spans="2:21">
      <c r="B77" t="s">
        <v>342</v>
      </c>
      <c r="C77">
        <v>3679</v>
      </c>
      <c r="D77" t="s">
        <v>1045</v>
      </c>
      <c r="E77">
        <v>202768</v>
      </c>
      <c r="F77">
        <v>202088</v>
      </c>
      <c r="G77">
        <v>2018</v>
      </c>
      <c r="H77">
        <v>8</v>
      </c>
      <c r="I77">
        <v>0</v>
      </c>
      <c r="J77" t="s">
        <v>30</v>
      </c>
      <c r="K77">
        <v>10</v>
      </c>
      <c r="L77">
        <f t="shared" si="33"/>
        <v>2028</v>
      </c>
      <c r="M77" s="27">
        <f t="shared" si="34"/>
        <v>2028.6666666666667</v>
      </c>
      <c r="N77" s="5">
        <v>628.75</v>
      </c>
      <c r="O77" s="5">
        <f t="shared" si="35"/>
        <v>628.75</v>
      </c>
      <c r="P77" s="5">
        <f t="shared" si="36"/>
        <v>5.239583333333333</v>
      </c>
      <c r="Q77" s="5">
        <f t="shared" si="28"/>
        <v>62.875</v>
      </c>
      <c r="R77" s="5">
        <f t="shared" si="24"/>
        <v>62.875</v>
      </c>
      <c r="S77" s="5">
        <f t="shared" si="25"/>
        <v>0</v>
      </c>
      <c r="T77" s="5">
        <f t="shared" si="26"/>
        <v>62.875</v>
      </c>
      <c r="U77" s="5">
        <f t="shared" si="27"/>
        <v>565.875</v>
      </c>
    </row>
    <row r="78" spans="2:21">
      <c r="B78" t="s">
        <v>623</v>
      </c>
      <c r="C78">
        <v>2058</v>
      </c>
      <c r="D78" t="s">
        <v>1061</v>
      </c>
      <c r="E78" t="s">
        <v>1136</v>
      </c>
      <c r="G78">
        <v>2019</v>
      </c>
      <c r="H78">
        <v>7</v>
      </c>
      <c r="I78">
        <v>0</v>
      </c>
      <c r="J78" t="s">
        <v>30</v>
      </c>
      <c r="K78">
        <v>10</v>
      </c>
      <c r="L78">
        <f t="shared" si="33"/>
        <v>2029</v>
      </c>
      <c r="M78" s="27">
        <f t="shared" si="34"/>
        <v>2029.5833333333333</v>
      </c>
      <c r="N78" s="5">
        <f>355897.69+1016.48</f>
        <v>356914.17</v>
      </c>
      <c r="O78" s="5">
        <f t="shared" si="35"/>
        <v>356914.17</v>
      </c>
      <c r="P78" s="5">
        <f t="shared" si="36"/>
        <v>2974.2847500000003</v>
      </c>
      <c r="Q78" s="5">
        <f t="shared" si="28"/>
        <v>35691.417000000001</v>
      </c>
      <c r="R78" s="5">
        <f t="shared" si="24"/>
        <v>35691.417000000001</v>
      </c>
      <c r="S78" s="5">
        <f t="shared" si="25"/>
        <v>0</v>
      </c>
      <c r="T78" s="5">
        <f t="shared" si="26"/>
        <v>35691.417000000001</v>
      </c>
      <c r="U78" s="5">
        <f t="shared" si="27"/>
        <v>321222.75299999997</v>
      </c>
    </row>
    <row r="79" spans="2:21" ht="12" customHeight="1">
      <c r="B79" t="s">
        <v>342</v>
      </c>
      <c r="C79">
        <v>3684</v>
      </c>
      <c r="D79" t="s">
        <v>1137</v>
      </c>
      <c r="E79" t="s">
        <v>1138</v>
      </c>
      <c r="G79">
        <v>2019</v>
      </c>
      <c r="H79">
        <v>9</v>
      </c>
      <c r="I79">
        <v>0</v>
      </c>
      <c r="J79" t="s">
        <v>30</v>
      </c>
      <c r="K79">
        <v>10</v>
      </c>
      <c r="L79">
        <f t="shared" si="33"/>
        <v>2029</v>
      </c>
      <c r="M79" s="27">
        <f t="shared" si="34"/>
        <v>2029.75</v>
      </c>
      <c r="N79" s="5">
        <f>175049.79+576.75+192346.45</f>
        <v>367972.99</v>
      </c>
      <c r="O79" s="5">
        <f t="shared" si="35"/>
        <v>367972.99</v>
      </c>
      <c r="P79" s="5">
        <f t="shared" si="36"/>
        <v>3066.4415833333333</v>
      </c>
      <c r="Q79" s="5">
        <f t="shared" si="28"/>
        <v>36797.298999999999</v>
      </c>
      <c r="R79" s="5">
        <f t="shared" si="24"/>
        <v>36797.298999999999</v>
      </c>
      <c r="S79" s="5">
        <f t="shared" si="25"/>
        <v>0</v>
      </c>
      <c r="T79" s="5">
        <f t="shared" si="26"/>
        <v>36797.298999999999</v>
      </c>
      <c r="U79" s="5">
        <f t="shared" si="27"/>
        <v>331175.69099999999</v>
      </c>
    </row>
    <row r="80" spans="2:21">
      <c r="B80" t="s">
        <v>342</v>
      </c>
      <c r="C80">
        <v>3700</v>
      </c>
      <c r="D80" t="s">
        <v>1139</v>
      </c>
      <c r="E80">
        <v>225678</v>
      </c>
      <c r="G80">
        <v>2019</v>
      </c>
      <c r="H80">
        <v>11</v>
      </c>
      <c r="I80">
        <v>0</v>
      </c>
      <c r="J80" t="s">
        <v>30</v>
      </c>
      <c r="K80">
        <v>10</v>
      </c>
      <c r="L80">
        <f t="shared" si="33"/>
        <v>2029</v>
      </c>
      <c r="M80" s="27">
        <f t="shared" si="34"/>
        <v>2029.9166666666667</v>
      </c>
      <c r="N80" s="5">
        <v>368277.14</v>
      </c>
      <c r="O80" s="5">
        <f t="shared" si="35"/>
        <v>368277.14</v>
      </c>
      <c r="P80" s="5">
        <f t="shared" si="36"/>
        <v>3068.9761666666668</v>
      </c>
      <c r="Q80" s="5">
        <f>P80*12</f>
        <v>36827.714</v>
      </c>
      <c r="R80" s="5">
        <f>+IF(M80&lt;=$O$5,0,IF(L80&gt;$O$4,Q80,(P80*H80)))</f>
        <v>36827.714</v>
      </c>
      <c r="S80" s="5">
        <f>+IF(R80=0,N80,IF($O$3-G80&lt;1,0,(($O$3-G80)*Q80)))</f>
        <v>0</v>
      </c>
      <c r="T80" s="5">
        <f>+IF(R80=0,S80,S80+R80)</f>
        <v>36827.714</v>
      </c>
      <c r="U80" s="5">
        <f>+N80-T80</f>
        <v>331449.42600000004</v>
      </c>
    </row>
    <row r="81" spans="1:21">
      <c r="B81" t="s">
        <v>342</v>
      </c>
      <c r="C81">
        <v>3699</v>
      </c>
      <c r="D81" t="s">
        <v>1139</v>
      </c>
      <c r="E81">
        <v>225677</v>
      </c>
      <c r="G81">
        <v>2019</v>
      </c>
      <c r="H81">
        <v>11</v>
      </c>
      <c r="I81">
        <v>0</v>
      </c>
      <c r="J81" t="s">
        <v>30</v>
      </c>
      <c r="K81">
        <v>10</v>
      </c>
      <c r="L81">
        <f t="shared" si="33"/>
        <v>2029</v>
      </c>
      <c r="M81" s="27">
        <f t="shared" si="34"/>
        <v>2029.9166666666667</v>
      </c>
      <c r="N81" s="5">
        <v>367858.22</v>
      </c>
      <c r="O81" s="5">
        <f t="shared" si="35"/>
        <v>367858.22</v>
      </c>
      <c r="P81" s="5">
        <f t="shared" si="36"/>
        <v>3065.4851666666668</v>
      </c>
      <c r="Q81" s="5">
        <f>P81*12</f>
        <v>36785.822</v>
      </c>
      <c r="R81" s="5">
        <f>+IF(M81&lt;=$O$5,0,IF(L81&gt;$O$4,Q81,(P81*H81)))</f>
        <v>36785.822</v>
      </c>
      <c r="S81" s="5">
        <f>+IF(R81=0,N81,IF($O$3-G81&lt;1,0,(($O$3-G81)*Q81)))</f>
        <v>0</v>
      </c>
      <c r="T81" s="5">
        <f>+IF(R81=0,S81,S81+R81)</f>
        <v>36785.822</v>
      </c>
      <c r="U81" s="5">
        <f>+N81-T81</f>
        <v>331072.39799999999</v>
      </c>
    </row>
    <row r="82" spans="1:21">
      <c r="B82" t="s">
        <v>342</v>
      </c>
      <c r="C82">
        <v>3698</v>
      </c>
      <c r="D82" t="s">
        <v>1139</v>
      </c>
      <c r="E82">
        <v>223827</v>
      </c>
      <c r="G82">
        <v>2019</v>
      </c>
      <c r="H82">
        <v>11</v>
      </c>
      <c r="I82">
        <v>0</v>
      </c>
      <c r="J82" t="s">
        <v>30</v>
      </c>
      <c r="K82">
        <v>10</v>
      </c>
      <c r="L82">
        <f t="shared" si="33"/>
        <v>2029</v>
      </c>
      <c r="M82" s="27">
        <f t="shared" si="34"/>
        <v>2029.9166666666667</v>
      </c>
      <c r="N82" s="5">
        <v>367281.47</v>
      </c>
      <c r="O82" s="5">
        <f t="shared" si="35"/>
        <v>367281.47</v>
      </c>
      <c r="P82" s="5">
        <f t="shared" si="36"/>
        <v>3060.6789166666663</v>
      </c>
      <c r="Q82" s="5">
        <f>P82*12</f>
        <v>36728.146999999997</v>
      </c>
      <c r="R82" s="5">
        <f>+IF(M82&lt;=$O$5,0,IF(L82&gt;$O$4,Q82,(P82*H82)))</f>
        <v>36728.146999999997</v>
      </c>
      <c r="S82" s="5">
        <f>+IF(R82=0,N82,IF($O$3-G82&lt;1,0,(($O$3-G82)*Q82)))</f>
        <v>0</v>
      </c>
      <c r="T82" s="5">
        <f>+IF(R82=0,S82,S82+R82)</f>
        <v>36728.146999999997</v>
      </c>
      <c r="U82" s="5">
        <f>+N82-T82</f>
        <v>330553.32299999997</v>
      </c>
    </row>
    <row r="83" spans="1:21">
      <c r="B83" t="s">
        <v>886</v>
      </c>
      <c r="C83">
        <v>1086</v>
      </c>
      <c r="D83" t="s">
        <v>1140</v>
      </c>
      <c r="E83">
        <v>225681</v>
      </c>
      <c r="G83">
        <v>2019</v>
      </c>
      <c r="H83">
        <v>12</v>
      </c>
      <c r="I83">
        <v>0</v>
      </c>
      <c r="J83" t="s">
        <v>30</v>
      </c>
      <c r="K83">
        <v>10</v>
      </c>
      <c r="L83">
        <f t="shared" si="33"/>
        <v>2029</v>
      </c>
      <c r="M83" s="27">
        <f t="shared" si="34"/>
        <v>2030</v>
      </c>
      <c r="N83" s="5">
        <v>306072.98</v>
      </c>
      <c r="O83" s="5">
        <f t="shared" si="35"/>
        <v>306072.98</v>
      </c>
      <c r="P83" s="5">
        <f t="shared" si="36"/>
        <v>2550.6081666666664</v>
      </c>
      <c r="Q83" s="5">
        <f>P83*12</f>
        <v>30607.297999999995</v>
      </c>
      <c r="R83" s="5">
        <f>+IF(M83&lt;=$O$5,0,IF(L83&gt;$O$4,Q83,(P83*H83)))</f>
        <v>30607.297999999995</v>
      </c>
      <c r="S83" s="5">
        <f>+IF(R83=0,N83,IF($O$3-G83&lt;1,0,(($O$3-G83)*Q83)))</f>
        <v>0</v>
      </c>
      <c r="T83" s="5">
        <f>+IF(R83=0,S83,S83+R83)</f>
        <v>30607.297999999995</v>
      </c>
      <c r="U83" s="5">
        <f>+N83-T83</f>
        <v>275465.68199999997</v>
      </c>
    </row>
    <row r="84" spans="1:21">
      <c r="B84" t="s">
        <v>886</v>
      </c>
      <c r="C84">
        <v>1085</v>
      </c>
      <c r="D84" t="s">
        <v>1140</v>
      </c>
      <c r="E84">
        <v>225679</v>
      </c>
      <c r="G84">
        <v>2019</v>
      </c>
      <c r="H84">
        <v>12</v>
      </c>
      <c r="I84">
        <v>0</v>
      </c>
      <c r="J84" t="s">
        <v>30</v>
      </c>
      <c r="K84">
        <v>10</v>
      </c>
      <c r="L84">
        <f t="shared" si="33"/>
        <v>2029</v>
      </c>
      <c r="M84" s="27">
        <f t="shared" si="34"/>
        <v>2030</v>
      </c>
      <c r="N84" s="5">
        <v>305751.65000000002</v>
      </c>
      <c r="O84" s="5">
        <f t="shared" si="35"/>
        <v>305751.65000000002</v>
      </c>
      <c r="P84" s="5">
        <f t="shared" si="36"/>
        <v>2547.9304166666666</v>
      </c>
      <c r="Q84" s="5">
        <f>P84*12</f>
        <v>30575.165000000001</v>
      </c>
      <c r="R84" s="5">
        <f>+IF(M84&lt;=$O$5,0,IF(L84&gt;$O$4,Q84,(P84*H84)))</f>
        <v>30575.165000000001</v>
      </c>
      <c r="S84" s="5">
        <f>+IF(R84=0,N84,IF($O$3-G84&lt;1,0,(($O$3-G84)*Q84)))</f>
        <v>0</v>
      </c>
      <c r="T84" s="5">
        <f>+IF(R84=0,S84,S84+R84)</f>
        <v>30575.165000000001</v>
      </c>
      <c r="U84" s="5">
        <f>+N84-T84</f>
        <v>275176.48500000004</v>
      </c>
    </row>
    <row r="85" spans="1:21" s="53" customFormat="1">
      <c r="B85" s="53" t="s">
        <v>342</v>
      </c>
      <c r="D85" s="53" t="s">
        <v>1195</v>
      </c>
      <c r="E85" s="53" t="s">
        <v>1199</v>
      </c>
      <c r="G85" s="53">
        <v>2020</v>
      </c>
      <c r="H85" s="53">
        <v>3</v>
      </c>
      <c r="I85" s="53">
        <v>0</v>
      </c>
      <c r="J85" s="53" t="s">
        <v>30</v>
      </c>
      <c r="K85" s="53">
        <v>10</v>
      </c>
      <c r="L85" s="53">
        <f t="shared" ref="L85:L93" si="37">G85+K85</f>
        <v>2030</v>
      </c>
      <c r="M85" s="55">
        <f t="shared" ref="M85:M93" si="38">+L85+(H85/12)</f>
        <v>2030.25</v>
      </c>
      <c r="N85" s="56">
        <v>381469</v>
      </c>
      <c r="O85" s="56">
        <f t="shared" ref="O85:O93" si="39">N85-N85*I85</f>
        <v>381469</v>
      </c>
      <c r="P85" s="56">
        <f t="shared" ref="P85:P92" si="40">O85/K85/12</f>
        <v>3178.9083333333333</v>
      </c>
      <c r="Q85" s="56">
        <f t="shared" ref="Q85:Q93" si="41">P85*12</f>
        <v>38146.9</v>
      </c>
      <c r="R85" s="56">
        <f t="shared" ref="R85:R93" si="42">+IF(M85&lt;=$O$5,0,IF(L85&gt;$O$4,Q85,(P85*H85)))</f>
        <v>38146.9</v>
      </c>
      <c r="S85" s="56">
        <f t="shared" ref="S85:S93" si="43">+IF(R85=0,N85,IF($O$3-G85&lt;1,0,(($O$3-G85)*Q85)))</f>
        <v>0</v>
      </c>
      <c r="T85" s="56">
        <f t="shared" ref="T85:T93" si="44">+IF(R85=0,S85,S85+R85)</f>
        <v>38146.9</v>
      </c>
      <c r="U85" s="56">
        <f t="shared" ref="U85:U93" si="45">+N85-T85</f>
        <v>343322.1</v>
      </c>
    </row>
    <row r="86" spans="1:21" s="53" customFormat="1">
      <c r="B86" s="53" t="s">
        <v>342</v>
      </c>
      <c r="D86" s="53" t="s">
        <v>1195</v>
      </c>
      <c r="E86" s="53" t="s">
        <v>1199</v>
      </c>
      <c r="G86" s="53">
        <v>2020</v>
      </c>
      <c r="H86" s="53">
        <v>3</v>
      </c>
      <c r="I86" s="53">
        <v>0</v>
      </c>
      <c r="J86" s="53" t="s">
        <v>30</v>
      </c>
      <c r="K86" s="53">
        <v>10</v>
      </c>
      <c r="L86" s="53">
        <f t="shared" si="37"/>
        <v>2030</v>
      </c>
      <c r="M86" s="55">
        <f t="shared" si="38"/>
        <v>2030.25</v>
      </c>
      <c r="N86" s="56">
        <v>381469</v>
      </c>
      <c r="O86" s="56">
        <f t="shared" si="39"/>
        <v>381469</v>
      </c>
      <c r="P86" s="56">
        <f t="shared" si="40"/>
        <v>3178.9083333333333</v>
      </c>
      <c r="Q86" s="56">
        <f t="shared" si="41"/>
        <v>38146.9</v>
      </c>
      <c r="R86" s="56">
        <f t="shared" si="42"/>
        <v>38146.9</v>
      </c>
      <c r="S86" s="56">
        <f t="shared" si="43"/>
        <v>0</v>
      </c>
      <c r="T86" s="56">
        <f t="shared" si="44"/>
        <v>38146.9</v>
      </c>
      <c r="U86" s="56">
        <f t="shared" si="45"/>
        <v>343322.1</v>
      </c>
    </row>
    <row r="87" spans="1:21" s="53" customFormat="1">
      <c r="B87" s="53" t="s">
        <v>342</v>
      </c>
      <c r="D87" s="53" t="s">
        <v>1195</v>
      </c>
      <c r="E87" s="53" t="s">
        <v>1199</v>
      </c>
      <c r="G87" s="53">
        <v>2020</v>
      </c>
      <c r="H87" s="53">
        <v>3</v>
      </c>
      <c r="I87" s="53">
        <v>0</v>
      </c>
      <c r="J87" s="53" t="s">
        <v>30</v>
      </c>
      <c r="K87" s="53">
        <v>10</v>
      </c>
      <c r="L87" s="53">
        <f t="shared" si="37"/>
        <v>2030</v>
      </c>
      <c r="M87" s="55">
        <f t="shared" si="38"/>
        <v>2030.25</v>
      </c>
      <c r="N87" s="56">
        <v>381469</v>
      </c>
      <c r="O87" s="56">
        <f t="shared" si="39"/>
        <v>381469</v>
      </c>
      <c r="P87" s="56">
        <f t="shared" si="40"/>
        <v>3178.9083333333333</v>
      </c>
      <c r="Q87" s="56">
        <f t="shared" si="41"/>
        <v>38146.9</v>
      </c>
      <c r="R87" s="56">
        <f t="shared" si="42"/>
        <v>38146.9</v>
      </c>
      <c r="S87" s="56">
        <f t="shared" si="43"/>
        <v>0</v>
      </c>
      <c r="T87" s="56">
        <f t="shared" si="44"/>
        <v>38146.9</v>
      </c>
      <c r="U87" s="56">
        <f t="shared" si="45"/>
        <v>343322.1</v>
      </c>
    </row>
    <row r="88" spans="1:21" s="53" customFormat="1">
      <c r="B88" s="53" t="s">
        <v>342</v>
      </c>
      <c r="D88" s="53" t="s">
        <v>1195</v>
      </c>
      <c r="E88" s="53" t="s">
        <v>1199</v>
      </c>
      <c r="G88" s="53">
        <v>2020</v>
      </c>
      <c r="H88" s="53">
        <v>3</v>
      </c>
      <c r="I88" s="53">
        <v>0</v>
      </c>
      <c r="J88" s="53" t="s">
        <v>30</v>
      </c>
      <c r="K88" s="53">
        <v>10</v>
      </c>
      <c r="L88" s="53">
        <f t="shared" si="37"/>
        <v>2030</v>
      </c>
      <c r="M88" s="55">
        <f t="shared" si="38"/>
        <v>2030.25</v>
      </c>
      <c r="N88" s="56">
        <v>381469</v>
      </c>
      <c r="O88" s="56">
        <f t="shared" si="39"/>
        <v>381469</v>
      </c>
      <c r="P88" s="56">
        <f t="shared" si="40"/>
        <v>3178.9083333333333</v>
      </c>
      <c r="Q88" s="56">
        <f t="shared" si="41"/>
        <v>38146.9</v>
      </c>
      <c r="R88" s="56">
        <f t="shared" si="42"/>
        <v>38146.9</v>
      </c>
      <c r="S88" s="56">
        <f t="shared" si="43"/>
        <v>0</v>
      </c>
      <c r="T88" s="56">
        <f t="shared" si="44"/>
        <v>38146.9</v>
      </c>
      <c r="U88" s="56">
        <f t="shared" si="45"/>
        <v>343322.1</v>
      </c>
    </row>
    <row r="89" spans="1:21" s="53" customFormat="1">
      <c r="B89" s="53" t="s">
        <v>342</v>
      </c>
      <c r="D89" s="53" t="s">
        <v>1195</v>
      </c>
      <c r="E89" s="53" t="s">
        <v>1199</v>
      </c>
      <c r="G89" s="53">
        <v>2020</v>
      </c>
      <c r="H89" s="53">
        <v>3</v>
      </c>
      <c r="I89" s="53">
        <v>0</v>
      </c>
      <c r="J89" s="53" t="s">
        <v>30</v>
      </c>
      <c r="K89" s="53">
        <v>10</v>
      </c>
      <c r="L89" s="53">
        <f t="shared" si="37"/>
        <v>2030</v>
      </c>
      <c r="M89" s="55">
        <f t="shared" si="38"/>
        <v>2030.25</v>
      </c>
      <c r="N89" s="56">
        <v>381469</v>
      </c>
      <c r="O89" s="56">
        <f t="shared" si="39"/>
        <v>381469</v>
      </c>
      <c r="P89" s="56">
        <f t="shared" si="40"/>
        <v>3178.9083333333333</v>
      </c>
      <c r="Q89" s="56">
        <f t="shared" si="41"/>
        <v>38146.9</v>
      </c>
      <c r="R89" s="56">
        <f t="shared" si="42"/>
        <v>38146.9</v>
      </c>
      <c r="S89" s="56">
        <f t="shared" si="43"/>
        <v>0</v>
      </c>
      <c r="T89" s="56">
        <f t="shared" si="44"/>
        <v>38146.9</v>
      </c>
      <c r="U89" s="56">
        <f t="shared" si="45"/>
        <v>343322.1</v>
      </c>
    </row>
    <row r="90" spans="1:21" s="53" customFormat="1">
      <c r="B90" s="53" t="s">
        <v>342</v>
      </c>
      <c r="D90" s="53" t="s">
        <v>1195</v>
      </c>
      <c r="E90" s="53" t="s">
        <v>1199</v>
      </c>
      <c r="G90" s="53">
        <v>2020</v>
      </c>
      <c r="H90" s="53">
        <v>3</v>
      </c>
      <c r="I90" s="53">
        <v>0</v>
      </c>
      <c r="J90" s="53" t="s">
        <v>30</v>
      </c>
      <c r="K90" s="53">
        <v>10</v>
      </c>
      <c r="L90" s="53">
        <f t="shared" si="37"/>
        <v>2030</v>
      </c>
      <c r="M90" s="55">
        <f t="shared" si="38"/>
        <v>2030.25</v>
      </c>
      <c r="N90" s="56">
        <v>381469</v>
      </c>
      <c r="O90" s="56">
        <f t="shared" si="39"/>
        <v>381469</v>
      </c>
      <c r="P90" s="56">
        <f t="shared" si="40"/>
        <v>3178.9083333333333</v>
      </c>
      <c r="Q90" s="56">
        <f t="shared" si="41"/>
        <v>38146.9</v>
      </c>
      <c r="R90" s="56">
        <f t="shared" si="42"/>
        <v>38146.9</v>
      </c>
      <c r="S90" s="56">
        <f t="shared" si="43"/>
        <v>0</v>
      </c>
      <c r="T90" s="56">
        <f t="shared" si="44"/>
        <v>38146.9</v>
      </c>
      <c r="U90" s="56">
        <f t="shared" si="45"/>
        <v>343322.1</v>
      </c>
    </row>
    <row r="91" spans="1:21" s="53" customFormat="1">
      <c r="B91" s="53" t="s">
        <v>623</v>
      </c>
      <c r="D91" s="53" t="s">
        <v>1196</v>
      </c>
      <c r="E91" s="53" t="s">
        <v>1199</v>
      </c>
      <c r="G91" s="53">
        <v>2020</v>
      </c>
      <c r="H91" s="53">
        <v>3</v>
      </c>
      <c r="I91" s="53">
        <v>0</v>
      </c>
      <c r="J91" s="53" t="s">
        <v>30</v>
      </c>
      <c r="K91" s="53">
        <v>10</v>
      </c>
      <c r="L91" s="53">
        <f t="shared" si="37"/>
        <v>2030</v>
      </c>
      <c r="M91" s="55">
        <f t="shared" si="38"/>
        <v>2030.25</v>
      </c>
      <c r="N91" s="56">
        <v>372782</v>
      </c>
      <c r="O91" s="56">
        <f t="shared" si="39"/>
        <v>372782</v>
      </c>
      <c r="P91" s="56">
        <f t="shared" si="40"/>
        <v>3106.5166666666664</v>
      </c>
      <c r="Q91" s="56">
        <f t="shared" si="41"/>
        <v>37278.199999999997</v>
      </c>
      <c r="R91" s="56">
        <f t="shared" si="42"/>
        <v>37278.199999999997</v>
      </c>
      <c r="S91" s="56">
        <f t="shared" si="43"/>
        <v>0</v>
      </c>
      <c r="T91" s="56">
        <f t="shared" si="44"/>
        <v>37278.199999999997</v>
      </c>
      <c r="U91" s="56">
        <f t="shared" si="45"/>
        <v>335503.8</v>
      </c>
    </row>
    <row r="92" spans="1:21" s="53" customFormat="1">
      <c r="B92" s="53" t="s">
        <v>886</v>
      </c>
      <c r="D92" s="53" t="s">
        <v>1197</v>
      </c>
      <c r="E92" s="53" t="s">
        <v>1199</v>
      </c>
      <c r="G92" s="53">
        <v>2020</v>
      </c>
      <c r="H92" s="53">
        <v>3</v>
      </c>
      <c r="I92" s="53">
        <v>0</v>
      </c>
      <c r="J92" s="53" t="s">
        <v>30</v>
      </c>
      <c r="K92" s="53">
        <v>10</v>
      </c>
      <c r="L92" s="53">
        <f t="shared" si="37"/>
        <v>2030</v>
      </c>
      <c r="M92" s="55">
        <f t="shared" si="38"/>
        <v>2030.25</v>
      </c>
      <c r="N92" s="56">
        <v>304208</v>
      </c>
      <c r="O92" s="56">
        <f t="shared" si="39"/>
        <v>304208</v>
      </c>
      <c r="P92" s="56">
        <f t="shared" si="40"/>
        <v>2535.0666666666666</v>
      </c>
      <c r="Q92" s="56">
        <f t="shared" si="41"/>
        <v>30420.799999999999</v>
      </c>
      <c r="R92" s="56">
        <f t="shared" si="42"/>
        <v>30420.799999999999</v>
      </c>
      <c r="S92" s="56">
        <f t="shared" si="43"/>
        <v>0</v>
      </c>
      <c r="T92" s="56">
        <f t="shared" si="44"/>
        <v>30420.799999999999</v>
      </c>
      <c r="U92" s="56">
        <f t="shared" si="45"/>
        <v>273787.2</v>
      </c>
    </row>
    <row r="93" spans="1:21" s="53" customFormat="1">
      <c r="B93" s="53" t="s">
        <v>886</v>
      </c>
      <c r="D93" s="53" t="s">
        <v>1197</v>
      </c>
      <c r="E93" s="53" t="s">
        <v>1199</v>
      </c>
      <c r="G93" s="53">
        <v>2020</v>
      </c>
      <c r="H93" s="53">
        <v>3</v>
      </c>
      <c r="I93" s="53">
        <v>0</v>
      </c>
      <c r="J93" s="53" t="s">
        <v>30</v>
      </c>
      <c r="K93" s="53">
        <v>10</v>
      </c>
      <c r="L93" s="53">
        <f t="shared" si="37"/>
        <v>2030</v>
      </c>
      <c r="M93" s="55">
        <f t="shared" si="38"/>
        <v>2030.25</v>
      </c>
      <c r="N93" s="56">
        <v>304208</v>
      </c>
      <c r="O93" s="56">
        <f t="shared" si="39"/>
        <v>304208</v>
      </c>
      <c r="P93" s="57">
        <f>O93/K93/12</f>
        <v>2535.0666666666666</v>
      </c>
      <c r="Q93" s="56">
        <f t="shared" si="41"/>
        <v>30420.799999999999</v>
      </c>
      <c r="R93" s="56">
        <f t="shared" si="42"/>
        <v>30420.799999999999</v>
      </c>
      <c r="S93" s="56">
        <f t="shared" si="43"/>
        <v>0</v>
      </c>
      <c r="T93" s="56">
        <f t="shared" si="44"/>
        <v>30420.799999999999</v>
      </c>
      <c r="U93" s="56">
        <f t="shared" si="45"/>
        <v>273787.2</v>
      </c>
    </row>
    <row r="94" spans="1:21" s="53" customFormat="1">
      <c r="B94" s="53" t="s">
        <v>342</v>
      </c>
      <c r="D94" s="53" t="s">
        <v>1195</v>
      </c>
      <c r="E94" s="53" t="s">
        <v>1200</v>
      </c>
      <c r="G94" s="53">
        <v>2020</v>
      </c>
      <c r="H94" s="53">
        <v>3</v>
      </c>
      <c r="I94" s="53">
        <v>0</v>
      </c>
      <c r="J94" s="53" t="s">
        <v>30</v>
      </c>
      <c r="K94" s="53">
        <v>10</v>
      </c>
      <c r="L94" s="53">
        <f t="shared" ref="L94:L95" si="46">G94+K94</f>
        <v>2030</v>
      </c>
      <c r="M94" s="55">
        <f t="shared" ref="M94:M95" si="47">+L94+(H94/12)</f>
        <v>2030.25</v>
      </c>
      <c r="N94" s="56">
        <v>381469</v>
      </c>
      <c r="O94" s="56">
        <f t="shared" ref="O94:O95" si="48">N94-N94*I94</f>
        <v>381469</v>
      </c>
      <c r="P94" s="56">
        <f t="shared" ref="P94:P95" si="49">O94/K94/12</f>
        <v>3178.9083333333333</v>
      </c>
      <c r="Q94" s="56">
        <f t="shared" ref="Q94:Q95" si="50">P94*12</f>
        <v>38146.9</v>
      </c>
      <c r="R94" s="56">
        <f t="shared" ref="R94:R95" si="51">+IF(M94&lt;=$O$5,0,IF(L94&gt;$O$4,Q94,(P94*H94)))</f>
        <v>38146.9</v>
      </c>
      <c r="S94" s="56">
        <f t="shared" ref="S94:S95" si="52">+IF(R94=0,N94,IF($O$3-G94&lt;1,0,(($O$3-G94)*Q94)))</f>
        <v>0</v>
      </c>
      <c r="T94" s="56">
        <f t="shared" ref="T94:T95" si="53">+IF(R94=0,S94,S94+R94)</f>
        <v>38146.9</v>
      </c>
      <c r="U94" s="56">
        <f t="shared" ref="U94:U95" si="54">+N94-T94</f>
        <v>343322.1</v>
      </c>
    </row>
    <row r="95" spans="1:21" s="53" customFormat="1">
      <c r="B95" s="53" t="s">
        <v>623</v>
      </c>
      <c r="D95" s="53" t="s">
        <v>1196</v>
      </c>
      <c r="E95" s="53" t="s">
        <v>1200</v>
      </c>
      <c r="G95" s="53">
        <v>2020</v>
      </c>
      <c r="H95" s="53">
        <v>3</v>
      </c>
      <c r="I95" s="53">
        <v>0</v>
      </c>
      <c r="J95" s="53" t="s">
        <v>30</v>
      </c>
      <c r="K95" s="53">
        <v>10</v>
      </c>
      <c r="L95" s="53">
        <f t="shared" si="46"/>
        <v>2030</v>
      </c>
      <c r="M95" s="55">
        <f t="shared" si="47"/>
        <v>2030.25</v>
      </c>
      <c r="N95" s="56">
        <v>372782</v>
      </c>
      <c r="O95" s="56">
        <f t="shared" si="48"/>
        <v>372782</v>
      </c>
      <c r="P95" s="56">
        <f t="shared" si="49"/>
        <v>3106.5166666666664</v>
      </c>
      <c r="Q95" s="56">
        <f t="shared" si="50"/>
        <v>37278.199999999997</v>
      </c>
      <c r="R95" s="56">
        <f t="shared" si="51"/>
        <v>37278.199999999997</v>
      </c>
      <c r="S95" s="56">
        <f t="shared" si="52"/>
        <v>0</v>
      </c>
      <c r="T95" s="56">
        <f t="shared" si="53"/>
        <v>37278.199999999997</v>
      </c>
      <c r="U95" s="56">
        <f t="shared" si="54"/>
        <v>335503.8</v>
      </c>
    </row>
    <row r="96" spans="1:21" s="26" customFormat="1">
      <c r="A96" s="24"/>
      <c r="B96" s="24"/>
      <c r="C96" s="24"/>
      <c r="D96" s="24" t="s">
        <v>1201</v>
      </c>
      <c r="E96" s="24"/>
      <c r="F96" s="24"/>
      <c r="G96" s="24"/>
      <c r="H96" s="24"/>
      <c r="I96" s="24"/>
      <c r="J96" s="24"/>
      <c r="K96" s="24"/>
      <c r="L96" s="29"/>
      <c r="M96" s="28"/>
      <c r="N96" s="25"/>
      <c r="O96" s="25"/>
      <c r="P96" s="25"/>
      <c r="Q96" s="25"/>
      <c r="R96" s="25">
        <f>SUM(R466+R468+R474)</f>
        <v>30728.126000000004</v>
      </c>
      <c r="S96" s="25"/>
      <c r="T96" s="25"/>
      <c r="U96" s="25">
        <v>0</v>
      </c>
    </row>
    <row r="97" spans="1:21" s="18" customFormat="1">
      <c r="M97" s="27"/>
      <c r="N97" s="5"/>
      <c r="O97" s="5"/>
      <c r="P97" s="5"/>
      <c r="Q97" s="5"/>
      <c r="R97" s="5"/>
      <c r="S97" s="5"/>
      <c r="T97" s="5"/>
      <c r="U97" s="5"/>
    </row>
    <row r="98" spans="1:21">
      <c r="L98" s="6" t="s">
        <v>429</v>
      </c>
      <c r="N98" s="9">
        <f t="shared" ref="N98:U98" si="55">SUM(N14:N97)</f>
        <v>14259926.240737708</v>
      </c>
      <c r="O98" s="9">
        <f t="shared" si="55"/>
        <v>14259926.240737708</v>
      </c>
      <c r="P98" s="9">
        <f t="shared" si="55"/>
        <v>128162.8702932475</v>
      </c>
      <c r="Q98" s="9">
        <f t="shared" si="55"/>
        <v>1537954.4435189688</v>
      </c>
      <c r="R98" s="9">
        <f t="shared" si="55"/>
        <v>1423877.6555238089</v>
      </c>
      <c r="S98" s="9">
        <f t="shared" si="55"/>
        <v>1543856.3333091338</v>
      </c>
      <c r="T98" s="9">
        <f t="shared" si="55"/>
        <v>2937005.8628329416</v>
      </c>
      <c r="U98" s="9">
        <f t="shared" si="55"/>
        <v>11329712.544571424</v>
      </c>
    </row>
    <row r="99" spans="1:21">
      <c r="N99" s="5"/>
      <c r="O99" s="5"/>
      <c r="P99" s="5"/>
      <c r="Q99" s="5"/>
      <c r="R99" s="5"/>
      <c r="S99" s="5"/>
      <c r="T99" s="5"/>
      <c r="U99" s="5"/>
    </row>
    <row r="100" spans="1:21">
      <c r="B100" s="4" t="s">
        <v>1151</v>
      </c>
      <c r="N100" s="5"/>
      <c r="O100" s="5"/>
      <c r="P100" s="5"/>
      <c r="Q100" s="5"/>
      <c r="R100" s="5"/>
      <c r="S100" s="5"/>
      <c r="T100" s="5"/>
      <c r="U100" s="5"/>
    </row>
    <row r="101" spans="1:21">
      <c r="B101" t="s">
        <v>623</v>
      </c>
      <c r="C101">
        <v>2059</v>
      </c>
      <c r="D101" t="s">
        <v>1122</v>
      </c>
      <c r="E101" t="s">
        <v>1143</v>
      </c>
      <c r="G101">
        <v>2019</v>
      </c>
      <c r="H101">
        <v>8</v>
      </c>
      <c r="I101">
        <v>0</v>
      </c>
      <c r="J101" t="s">
        <v>30</v>
      </c>
      <c r="K101">
        <v>10</v>
      </c>
      <c r="L101">
        <f>G101+K101</f>
        <v>2029</v>
      </c>
      <c r="M101" s="27">
        <f>+L101+(H101/12)</f>
        <v>2029.6666666666667</v>
      </c>
      <c r="N101" s="5">
        <f>355897.69+530+358.34</f>
        <v>356786.03</v>
      </c>
      <c r="O101" s="5">
        <f>N101-N101*I101</f>
        <v>356786.03</v>
      </c>
      <c r="P101" s="5">
        <f>O101/K101/12</f>
        <v>2973.2169166666667</v>
      </c>
      <c r="Q101" s="51">
        <f>P101*12</f>
        <v>35678.603000000003</v>
      </c>
      <c r="R101" s="5">
        <f t="shared" ref="R101" si="56">+IF(M101&lt;=$O$5,0,IF(L101&gt;$O$4,Q101,(P101*H101)))</f>
        <v>35678.603000000003</v>
      </c>
      <c r="S101" s="5">
        <f t="shared" ref="S101" si="57">+IF(R101=0,N101,IF($O$3-G101&lt;1,0,(($O$3-G101)*Q101)))</f>
        <v>0</v>
      </c>
      <c r="T101" s="5">
        <f t="shared" ref="T101" si="58">+IF(R101=0,S101,S101+R101)</f>
        <v>35678.603000000003</v>
      </c>
      <c r="U101" s="5">
        <f t="shared" ref="U101" si="59">+N101-T101</f>
        <v>321107.42700000003</v>
      </c>
    </row>
    <row r="102" spans="1:21">
      <c r="N102" s="5"/>
      <c r="O102" s="5"/>
      <c r="P102" s="5"/>
      <c r="Q102" s="5"/>
      <c r="R102" s="5"/>
      <c r="S102" s="5"/>
      <c r="T102" s="5"/>
      <c r="U102" s="5"/>
    </row>
    <row r="103" spans="1:21">
      <c r="L103" s="6" t="s">
        <v>780</v>
      </c>
      <c r="N103" s="9">
        <f>SUM(N101:N102)</f>
        <v>356786.03</v>
      </c>
      <c r="O103" s="9">
        <f t="shared" ref="O103" si="60">SUM(O101:O102)</f>
        <v>356786.03</v>
      </c>
      <c r="P103" s="9">
        <f>SUM(P101:P102)</f>
        <v>2973.2169166666667</v>
      </c>
      <c r="Q103" s="9">
        <f t="shared" ref="Q103:T103" si="61">SUM(Q101:Q102)</f>
        <v>35678.603000000003</v>
      </c>
      <c r="R103" s="9">
        <f t="shared" si="61"/>
        <v>35678.603000000003</v>
      </c>
      <c r="S103" s="9">
        <f t="shared" si="61"/>
        <v>0</v>
      </c>
      <c r="T103" s="9">
        <f t="shared" si="61"/>
        <v>35678.603000000003</v>
      </c>
      <c r="U103" s="9">
        <f>SUM(U101:U102)</f>
        <v>321107.42700000003</v>
      </c>
    </row>
    <row r="104" spans="1:21" s="1" customFormat="1">
      <c r="M104" s="27"/>
      <c r="N104" s="5"/>
      <c r="O104" s="5"/>
      <c r="P104" s="5"/>
      <c r="Q104" s="5"/>
      <c r="R104" s="5"/>
      <c r="S104" s="5"/>
      <c r="T104" s="5"/>
      <c r="U104" s="5"/>
    </row>
    <row r="105" spans="1:21" s="1" customFormat="1">
      <c r="B105" s="4" t="s">
        <v>1152</v>
      </c>
      <c r="M105" s="27"/>
      <c r="N105" s="5"/>
      <c r="O105" s="5"/>
      <c r="P105" s="5"/>
      <c r="Q105" s="5"/>
      <c r="R105" s="5"/>
      <c r="S105" s="5"/>
      <c r="T105" s="5"/>
      <c r="U105" s="5"/>
    </row>
    <row r="106" spans="1:21">
      <c r="B106" t="s">
        <v>342</v>
      </c>
      <c r="C106">
        <v>3678</v>
      </c>
      <c r="D106" t="s">
        <v>1044</v>
      </c>
      <c r="E106">
        <v>202087</v>
      </c>
      <c r="F106" t="s">
        <v>372</v>
      </c>
      <c r="G106">
        <v>2018</v>
      </c>
      <c r="H106">
        <v>10</v>
      </c>
      <c r="I106">
        <v>0</v>
      </c>
      <c r="J106" t="s">
        <v>30</v>
      </c>
      <c r="K106">
        <v>10</v>
      </c>
      <c r="L106">
        <f>G106+K106</f>
        <v>2028</v>
      </c>
      <c r="M106" s="27">
        <f>+L106+(H106/12)</f>
        <v>2028.8333333333333</v>
      </c>
      <c r="N106" s="5">
        <v>349200.73</v>
      </c>
      <c r="O106" s="51">
        <f>N106-N106*I106</f>
        <v>349200.73</v>
      </c>
      <c r="P106" s="5">
        <f>O106/K106/12</f>
        <v>2910.0060833333332</v>
      </c>
      <c r="Q106" s="51">
        <f>P106*12</f>
        <v>34920.072999999997</v>
      </c>
      <c r="R106" s="5">
        <f t="shared" ref="R106" si="62">+IF(M106&lt;=$O$5,0,IF(L106&gt;$O$4,Q106,(P106*H106)))</f>
        <v>34920.072999999997</v>
      </c>
      <c r="S106" s="5">
        <f>+IF(R106=0,N106,IF($O$3-G106&lt;1,0,(($O$3-G106)*Q106)))</f>
        <v>0</v>
      </c>
      <c r="T106" s="5">
        <f t="shared" ref="T106" si="63">+IF(R106=0,S106,S106+R106)</f>
        <v>34920.072999999997</v>
      </c>
      <c r="U106" s="5">
        <f t="shared" ref="U106" si="64">+N106-T106</f>
        <v>314280.65700000001</v>
      </c>
    </row>
    <row r="107" spans="1:21" s="1" customFormat="1">
      <c r="M107" s="27"/>
      <c r="N107" s="5"/>
      <c r="O107" s="5"/>
      <c r="P107" s="5"/>
      <c r="Q107" s="5"/>
      <c r="R107" s="5"/>
      <c r="S107" s="5"/>
      <c r="T107" s="5"/>
      <c r="U107" s="5"/>
    </row>
    <row r="108" spans="1:2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6" t="s">
        <v>1150</v>
      </c>
      <c r="N108" s="9">
        <f>SUM(N106:N107)</f>
        <v>349200.73</v>
      </c>
      <c r="O108" s="9">
        <f>SUM(O106:O107)</f>
        <v>349200.73</v>
      </c>
      <c r="P108" s="9">
        <f>SUM(P106:P107)</f>
        <v>2910.0060833333332</v>
      </c>
      <c r="Q108" s="9">
        <f t="shared" ref="Q108:U108" si="65">SUM(Q106:Q107)</f>
        <v>34920.072999999997</v>
      </c>
      <c r="R108" s="9">
        <f t="shared" si="65"/>
        <v>34920.072999999997</v>
      </c>
      <c r="S108" s="9">
        <f t="shared" si="65"/>
        <v>0</v>
      </c>
      <c r="T108" s="9">
        <f t="shared" si="65"/>
        <v>34920.072999999997</v>
      </c>
      <c r="U108" s="9">
        <f t="shared" si="65"/>
        <v>314280.65700000001</v>
      </c>
    </row>
    <row r="109" spans="1:21" s="1" customFormat="1">
      <c r="M109" s="27"/>
      <c r="N109" s="5"/>
      <c r="O109" s="5"/>
      <c r="P109" s="5"/>
      <c r="Q109" s="5"/>
      <c r="R109" s="5"/>
      <c r="S109" s="5"/>
      <c r="T109" s="5"/>
      <c r="U109" s="5"/>
    </row>
    <row r="110" spans="1:21">
      <c r="B110" s="4" t="s">
        <v>1153</v>
      </c>
      <c r="N110" s="5"/>
      <c r="O110" s="5"/>
      <c r="P110" s="5"/>
      <c r="Q110" s="5"/>
      <c r="R110" s="5"/>
      <c r="S110" s="5"/>
      <c r="T110" s="5"/>
      <c r="U110" s="5"/>
    </row>
    <row r="111" spans="1:21">
      <c r="C111">
        <v>11085</v>
      </c>
      <c r="D111" t="s">
        <v>33</v>
      </c>
      <c r="G111">
        <v>2004</v>
      </c>
      <c r="H111">
        <v>12</v>
      </c>
      <c r="I111">
        <v>0</v>
      </c>
      <c r="J111" t="s">
        <v>30</v>
      </c>
      <c r="K111">
        <v>5</v>
      </c>
      <c r="L111" s="14">
        <f t="shared" ref="L111:L146" si="66">G111+K111</f>
        <v>2009</v>
      </c>
      <c r="M111" s="27">
        <f>+L111+(H111/12)</f>
        <v>2010</v>
      </c>
      <c r="N111" s="5">
        <f>'2180 Trucks - Orig.'!O131</f>
        <v>20613.368000000002</v>
      </c>
      <c r="O111" s="51">
        <f>N111-N111*I111</f>
        <v>20613.368000000002</v>
      </c>
      <c r="P111" s="51">
        <f>O111/K111/12</f>
        <v>343.55613333333332</v>
      </c>
      <c r="Q111" s="5">
        <f t="shared" ref="Q111:Q142" si="67">P111*12</f>
        <v>4122.6736000000001</v>
      </c>
      <c r="R111" s="5">
        <f t="shared" ref="R111:R128" si="68">+IF(M111&lt;=$O$5,0,IF(L111&gt;$O$4,Q111,(P111*H111)))</f>
        <v>0</v>
      </c>
      <c r="S111" s="5">
        <f t="shared" ref="S111:S128" si="69">+IF(R111=0,N111,IF($O$3-G111&lt;1,0,(($O$3-G111)*Q111)))</f>
        <v>20613.368000000002</v>
      </c>
      <c r="T111" s="5">
        <f t="shared" ref="T111:T128" si="70">+IF(R111=0,S111,S111+R111)</f>
        <v>20613.368000000002</v>
      </c>
      <c r="U111" s="5">
        <f t="shared" ref="U111:U142" si="71">+N111-T111</f>
        <v>0</v>
      </c>
    </row>
    <row r="112" spans="1:21" s="26" customFormat="1">
      <c r="A112" s="24"/>
      <c r="B112" s="24"/>
      <c r="C112" s="24"/>
      <c r="D112" s="24" t="s">
        <v>962</v>
      </c>
      <c r="E112" s="24"/>
      <c r="F112" s="24"/>
      <c r="G112" s="24">
        <v>2018</v>
      </c>
      <c r="H112" s="24">
        <v>12</v>
      </c>
      <c r="I112" s="24">
        <v>0</v>
      </c>
      <c r="J112" s="24" t="s">
        <v>30</v>
      </c>
      <c r="K112" s="24">
        <f>+IF(L111-$O$3&gt;=3,L111-$O$3,3)</f>
        <v>3</v>
      </c>
      <c r="L112" s="29">
        <f>G112+K112</f>
        <v>2021</v>
      </c>
      <c r="M112" s="28">
        <f>+L112+(H112/12)</f>
        <v>2022</v>
      </c>
      <c r="N112" s="25">
        <f>'2180 Trucks - Orig.'!N131-'2180 Trucks'!N111</f>
        <v>5153.3420000000006</v>
      </c>
      <c r="O112" s="25">
        <f>N112-N112*I112</f>
        <v>5153.3420000000006</v>
      </c>
      <c r="P112" s="25">
        <f>O112/K112/12</f>
        <v>143.14838888888889</v>
      </c>
      <c r="Q112" s="25">
        <f>P112*12</f>
        <v>1717.7806666666665</v>
      </c>
      <c r="R112" s="25">
        <f t="shared" si="68"/>
        <v>1717.7806666666665</v>
      </c>
      <c r="S112" s="25">
        <f t="shared" si="69"/>
        <v>0</v>
      </c>
      <c r="T112" s="25">
        <f t="shared" si="70"/>
        <v>1717.7806666666665</v>
      </c>
      <c r="U112" s="25">
        <f t="shared" si="71"/>
        <v>3435.561333333334</v>
      </c>
    </row>
    <row r="113" spans="1:21">
      <c r="D113" t="s">
        <v>446</v>
      </c>
      <c r="E113" t="s">
        <v>445</v>
      </c>
      <c r="G113">
        <v>2006</v>
      </c>
      <c r="H113">
        <v>12</v>
      </c>
      <c r="I113">
        <v>0</v>
      </c>
      <c r="J113" t="s">
        <v>30</v>
      </c>
      <c r="K113">
        <v>5</v>
      </c>
      <c r="L113" s="14">
        <f t="shared" si="66"/>
        <v>2011</v>
      </c>
      <c r="M113" s="27">
        <f t="shared" ref="M113:M146" si="72">+L113+(H113/12)</f>
        <v>2012</v>
      </c>
      <c r="N113" s="5">
        <f>(9918.49+20060.36+141742.3)*6/36</f>
        <v>28620.191666666666</v>
      </c>
      <c r="O113" s="5">
        <f t="shared" ref="O113:O142" si="73">N113-N113*I113</f>
        <v>28620.191666666666</v>
      </c>
      <c r="P113" s="5">
        <f t="shared" ref="P113:P142" si="74">O113/K113/12</f>
        <v>477.00319444444443</v>
      </c>
      <c r="Q113" s="5">
        <f t="shared" si="67"/>
        <v>5724.038333333333</v>
      </c>
      <c r="R113" s="5">
        <f t="shared" si="68"/>
        <v>0</v>
      </c>
      <c r="S113" s="5">
        <f t="shared" si="69"/>
        <v>28620.191666666666</v>
      </c>
      <c r="T113" s="5">
        <f t="shared" si="70"/>
        <v>28620.191666666666</v>
      </c>
      <c r="U113" s="5">
        <f t="shared" si="71"/>
        <v>0</v>
      </c>
    </row>
    <row r="114" spans="1:21">
      <c r="A114" t="s">
        <v>47</v>
      </c>
      <c r="B114" t="s">
        <v>343</v>
      </c>
      <c r="C114">
        <v>4060</v>
      </c>
      <c r="D114" t="s">
        <v>62</v>
      </c>
      <c r="G114">
        <v>2007</v>
      </c>
      <c r="H114">
        <v>9</v>
      </c>
      <c r="I114">
        <v>0</v>
      </c>
      <c r="J114" t="s">
        <v>30</v>
      </c>
      <c r="K114">
        <v>7</v>
      </c>
      <c r="L114" s="14">
        <f t="shared" si="66"/>
        <v>2014</v>
      </c>
      <c r="M114" s="27">
        <f t="shared" si="72"/>
        <v>2014.75</v>
      </c>
      <c r="N114" s="5">
        <f>'2180 Trucks - Orig.'!O137</f>
        <v>125728.91200000001</v>
      </c>
      <c r="O114" s="5">
        <f t="shared" si="73"/>
        <v>125728.91200000001</v>
      </c>
      <c r="P114" s="5">
        <f t="shared" si="74"/>
        <v>1496.7727619047621</v>
      </c>
      <c r="Q114" s="5">
        <f t="shared" si="67"/>
        <v>17961.273142857146</v>
      </c>
      <c r="R114" s="5">
        <f t="shared" si="68"/>
        <v>0</v>
      </c>
      <c r="S114" s="5">
        <f t="shared" si="69"/>
        <v>125728.91200000001</v>
      </c>
      <c r="T114" s="5">
        <f t="shared" si="70"/>
        <v>125728.91200000001</v>
      </c>
      <c r="U114" s="5">
        <f t="shared" si="71"/>
        <v>0</v>
      </c>
    </row>
    <row r="115" spans="1:21" s="26" customFormat="1">
      <c r="A115" s="24"/>
      <c r="B115" s="24"/>
      <c r="C115" s="24"/>
      <c r="D115" s="24" t="s">
        <v>986</v>
      </c>
      <c r="E115" s="24"/>
      <c r="F115" s="24"/>
      <c r="G115" s="24">
        <v>2018</v>
      </c>
      <c r="H115" s="24">
        <v>12</v>
      </c>
      <c r="I115" s="24">
        <v>0</v>
      </c>
      <c r="J115" s="24" t="s">
        <v>30</v>
      </c>
      <c r="K115" s="24">
        <f>+IF(L114-$O$3&gt;=3,L114-$O$3,3)</f>
        <v>3</v>
      </c>
      <c r="L115" s="29">
        <f>G115+K115</f>
        <v>2021</v>
      </c>
      <c r="M115" s="28">
        <f>+L115+(H115/12)</f>
        <v>2022</v>
      </c>
      <c r="N115" s="25">
        <f>'2180 Trucks - Orig.'!N137-'2180 Trucks'!N114</f>
        <v>31432.228000000003</v>
      </c>
      <c r="O115" s="25">
        <f>N115-N115*I115</f>
        <v>31432.228000000003</v>
      </c>
      <c r="P115" s="25">
        <f>O115/K115/12</f>
        <v>873.11744444444457</v>
      </c>
      <c r="Q115" s="25">
        <f>P115*12</f>
        <v>10477.409333333335</v>
      </c>
      <c r="R115" s="25">
        <f t="shared" si="68"/>
        <v>10477.409333333335</v>
      </c>
      <c r="S115" s="25">
        <f t="shared" si="69"/>
        <v>0</v>
      </c>
      <c r="T115" s="25">
        <f t="shared" si="70"/>
        <v>10477.409333333335</v>
      </c>
      <c r="U115" s="25">
        <f t="shared" si="71"/>
        <v>20954.818666666666</v>
      </c>
    </row>
    <row r="116" spans="1:21">
      <c r="A116" t="s">
        <v>47</v>
      </c>
      <c r="B116" t="s">
        <v>343</v>
      </c>
      <c r="C116">
        <v>4070</v>
      </c>
      <c r="D116" t="s">
        <v>422</v>
      </c>
      <c r="E116">
        <v>60796</v>
      </c>
      <c r="F116" t="s">
        <v>372</v>
      </c>
      <c r="G116">
        <v>2008</v>
      </c>
      <c r="H116">
        <v>11</v>
      </c>
      <c r="I116">
        <v>0</v>
      </c>
      <c r="J116" t="s">
        <v>30</v>
      </c>
      <c r="K116">
        <v>7</v>
      </c>
      <c r="L116" s="14">
        <f t="shared" si="66"/>
        <v>2015</v>
      </c>
      <c r="M116" s="27">
        <f t="shared" si="72"/>
        <v>2015.9166666666667</v>
      </c>
      <c r="N116" s="5">
        <f>'2180 Trucks - Orig.'!O139</f>
        <v>27581.088</v>
      </c>
      <c r="O116" s="5">
        <f t="shared" si="73"/>
        <v>27581.088</v>
      </c>
      <c r="P116" s="5">
        <f t="shared" si="74"/>
        <v>328.34628571428573</v>
      </c>
      <c r="Q116" s="5">
        <f t="shared" si="67"/>
        <v>3940.1554285714287</v>
      </c>
      <c r="R116" s="5">
        <f t="shared" si="68"/>
        <v>0</v>
      </c>
      <c r="S116" s="5">
        <f t="shared" si="69"/>
        <v>27581.088</v>
      </c>
      <c r="T116" s="5">
        <f t="shared" si="70"/>
        <v>27581.088</v>
      </c>
      <c r="U116" s="5">
        <f t="shared" si="71"/>
        <v>0</v>
      </c>
    </row>
    <row r="117" spans="1:21" s="26" customFormat="1">
      <c r="A117" s="24"/>
      <c r="B117" s="24"/>
      <c r="C117" s="24"/>
      <c r="D117" s="24" t="s">
        <v>988</v>
      </c>
      <c r="E117" s="24"/>
      <c r="F117" s="24"/>
      <c r="G117" s="24">
        <v>2018</v>
      </c>
      <c r="H117" s="24">
        <v>12</v>
      </c>
      <c r="I117" s="24">
        <v>0</v>
      </c>
      <c r="J117" s="24" t="s">
        <v>30</v>
      </c>
      <c r="K117" s="24">
        <f>+IF(L116-$O$3&gt;=3,L116-$O$3,3)</f>
        <v>3</v>
      </c>
      <c r="L117" s="29">
        <f>G117+K117</f>
        <v>2021</v>
      </c>
      <c r="M117" s="28">
        <f>+L117+(H117/12)</f>
        <v>2022</v>
      </c>
      <c r="N117" s="25">
        <f>'2180 Trucks - Orig.'!N139-'2180 Trucks'!N116</f>
        <v>6895.2720000000008</v>
      </c>
      <c r="O117" s="25">
        <f>N117-N117*I117</f>
        <v>6895.2720000000008</v>
      </c>
      <c r="P117" s="25">
        <f>O117/K117/12</f>
        <v>191.53533333333337</v>
      </c>
      <c r="Q117" s="25">
        <f>P117*12</f>
        <v>2298.4240000000004</v>
      </c>
      <c r="R117" s="25">
        <f t="shared" si="68"/>
        <v>2298.4240000000004</v>
      </c>
      <c r="S117" s="25">
        <f t="shared" si="69"/>
        <v>0</v>
      </c>
      <c r="T117" s="25">
        <f t="shared" si="70"/>
        <v>2298.4240000000004</v>
      </c>
      <c r="U117" s="25">
        <f t="shared" si="71"/>
        <v>4596.848</v>
      </c>
    </row>
    <row r="118" spans="1:21">
      <c r="A118" t="s">
        <v>47</v>
      </c>
      <c r="B118" t="s">
        <v>343</v>
      </c>
      <c r="C118">
        <v>4070</v>
      </c>
      <c r="D118" t="s">
        <v>315</v>
      </c>
      <c r="G118">
        <v>2009</v>
      </c>
      <c r="H118">
        <v>1</v>
      </c>
      <c r="I118">
        <v>0</v>
      </c>
      <c r="J118" t="s">
        <v>30</v>
      </c>
      <c r="K118">
        <v>3</v>
      </c>
      <c r="L118" s="14">
        <f t="shared" si="66"/>
        <v>2012</v>
      </c>
      <c r="M118" s="27">
        <f t="shared" si="72"/>
        <v>2012.0833333333333</v>
      </c>
      <c r="N118" s="5">
        <v>3895.03</v>
      </c>
      <c r="O118" s="5">
        <f t="shared" si="73"/>
        <v>3895.03</v>
      </c>
      <c r="P118" s="5">
        <f t="shared" si="74"/>
        <v>108.19527777777779</v>
      </c>
      <c r="Q118" s="5">
        <f t="shared" si="67"/>
        <v>1298.3433333333335</v>
      </c>
      <c r="R118" s="5">
        <f t="shared" si="68"/>
        <v>0</v>
      </c>
      <c r="S118" s="5">
        <f t="shared" si="69"/>
        <v>3895.03</v>
      </c>
      <c r="T118" s="5">
        <f t="shared" si="70"/>
        <v>3895.03</v>
      </c>
      <c r="U118" s="5">
        <f t="shared" si="71"/>
        <v>0</v>
      </c>
    </row>
    <row r="119" spans="1:21">
      <c r="D119" t="s">
        <v>442</v>
      </c>
      <c r="E119" t="s">
        <v>443</v>
      </c>
      <c r="F119" t="s">
        <v>372</v>
      </c>
      <c r="G119">
        <v>2009</v>
      </c>
      <c r="H119">
        <v>7</v>
      </c>
      <c r="I119">
        <v>0</v>
      </c>
      <c r="J119" t="s">
        <v>30</v>
      </c>
      <c r="K119">
        <v>5</v>
      </c>
      <c r="L119" s="14">
        <f t="shared" si="66"/>
        <v>2014</v>
      </c>
      <c r="M119" s="27">
        <f t="shared" si="72"/>
        <v>2014.5833333333333</v>
      </c>
      <c r="N119" s="5">
        <f>(6722.48+38653.29+641.31+1194.22+14225.95)*7/61</f>
        <v>7050.1762295081971</v>
      </c>
      <c r="O119" s="5">
        <f t="shared" si="73"/>
        <v>7050.1762295081971</v>
      </c>
      <c r="P119" s="5">
        <f t="shared" si="74"/>
        <v>117.50293715846995</v>
      </c>
      <c r="Q119" s="5">
        <f t="shared" si="67"/>
        <v>1410.0352459016394</v>
      </c>
      <c r="R119" s="5">
        <f t="shared" si="68"/>
        <v>0</v>
      </c>
      <c r="S119" s="5">
        <f t="shared" si="69"/>
        <v>7050.1762295081971</v>
      </c>
      <c r="T119" s="5">
        <f t="shared" si="70"/>
        <v>7050.1762295081971</v>
      </c>
      <c r="U119" s="5">
        <f t="shared" si="71"/>
        <v>0</v>
      </c>
    </row>
    <row r="120" spans="1:21">
      <c r="D120" t="s">
        <v>448</v>
      </c>
      <c r="E120" t="s">
        <v>447</v>
      </c>
      <c r="G120">
        <v>2009</v>
      </c>
      <c r="H120">
        <v>7</v>
      </c>
      <c r="I120">
        <v>0</v>
      </c>
      <c r="J120" t="s">
        <v>30</v>
      </c>
      <c r="K120">
        <v>5</v>
      </c>
      <c r="L120" s="14">
        <f t="shared" si="66"/>
        <v>2014</v>
      </c>
      <c r="M120" s="27">
        <f t="shared" si="72"/>
        <v>2014.5833333333333</v>
      </c>
      <c r="N120" s="5">
        <f>(34912.65+1078.65+10913.06)*6/46</f>
        <v>6117.9600000000009</v>
      </c>
      <c r="O120" s="5">
        <f t="shared" si="73"/>
        <v>6117.9600000000009</v>
      </c>
      <c r="P120" s="5">
        <f t="shared" si="74"/>
        <v>101.96600000000001</v>
      </c>
      <c r="Q120" s="5">
        <f t="shared" si="67"/>
        <v>1223.5920000000001</v>
      </c>
      <c r="R120" s="5">
        <f t="shared" si="68"/>
        <v>0</v>
      </c>
      <c r="S120" s="5">
        <f t="shared" si="69"/>
        <v>6117.9600000000009</v>
      </c>
      <c r="T120" s="5">
        <f t="shared" si="70"/>
        <v>6117.9600000000009</v>
      </c>
      <c r="U120" s="5">
        <f t="shared" si="71"/>
        <v>0</v>
      </c>
    </row>
    <row r="121" spans="1:21">
      <c r="D121" t="s">
        <v>377</v>
      </c>
      <c r="E121">
        <v>75160</v>
      </c>
      <c r="F121" t="s">
        <v>372</v>
      </c>
      <c r="G121">
        <v>2010</v>
      </c>
      <c r="H121">
        <v>6</v>
      </c>
      <c r="I121">
        <v>0</v>
      </c>
      <c r="J121" t="s">
        <v>30</v>
      </c>
      <c r="K121">
        <v>5</v>
      </c>
      <c r="L121" s="14">
        <f t="shared" si="66"/>
        <v>2015</v>
      </c>
      <c r="M121" s="27">
        <f t="shared" si="72"/>
        <v>2015.5</v>
      </c>
      <c r="N121" s="5">
        <f>16772.32*7/61</f>
        <v>1924.6924590163933</v>
      </c>
      <c r="O121" s="5">
        <f t="shared" si="73"/>
        <v>1924.6924590163933</v>
      </c>
      <c r="P121" s="5">
        <f t="shared" si="74"/>
        <v>32.078207650273221</v>
      </c>
      <c r="Q121" s="5">
        <f t="shared" si="67"/>
        <v>384.93849180327868</v>
      </c>
      <c r="R121" s="5">
        <f t="shared" si="68"/>
        <v>0</v>
      </c>
      <c r="S121" s="5">
        <f t="shared" si="69"/>
        <v>1924.6924590163933</v>
      </c>
      <c r="T121" s="5">
        <f t="shared" si="70"/>
        <v>1924.6924590163933</v>
      </c>
      <c r="U121" s="5">
        <f t="shared" si="71"/>
        <v>0</v>
      </c>
    </row>
    <row r="122" spans="1:21">
      <c r="C122">
        <v>4053</v>
      </c>
      <c r="D122" t="s">
        <v>742</v>
      </c>
      <c r="E122">
        <v>113248</v>
      </c>
      <c r="G122">
        <v>2014</v>
      </c>
      <c r="H122">
        <v>4</v>
      </c>
      <c r="I122">
        <v>0</v>
      </c>
      <c r="J122" t="s">
        <v>30</v>
      </c>
      <c r="K122">
        <v>5</v>
      </c>
      <c r="L122" s="14">
        <f>G122+K122</f>
        <v>2019</v>
      </c>
      <c r="M122" s="27">
        <f t="shared" si="72"/>
        <v>2019.3333333333333</v>
      </c>
      <c r="N122" s="5">
        <f>6778.26/7</f>
        <v>968.32285714285717</v>
      </c>
      <c r="O122" s="5">
        <f t="shared" si="73"/>
        <v>968.32285714285717</v>
      </c>
      <c r="P122" s="5">
        <f t="shared" si="74"/>
        <v>16.138714285714286</v>
      </c>
      <c r="Q122" s="5">
        <f t="shared" si="67"/>
        <v>193.66457142857143</v>
      </c>
      <c r="R122" s="5">
        <f t="shared" si="68"/>
        <v>64.554857142857145</v>
      </c>
      <c r="S122" s="5">
        <f t="shared" si="69"/>
        <v>774.65828571428574</v>
      </c>
      <c r="T122" s="5">
        <f t="shared" si="70"/>
        <v>839.21314285714288</v>
      </c>
      <c r="U122" s="5">
        <f t="shared" si="71"/>
        <v>129.10971428571429</v>
      </c>
    </row>
    <row r="123" spans="1:21">
      <c r="C123">
        <v>4060</v>
      </c>
      <c r="D123" t="s">
        <v>742</v>
      </c>
      <c r="E123">
        <v>113248</v>
      </c>
      <c r="G123">
        <v>2014</v>
      </c>
      <c r="H123">
        <v>4</v>
      </c>
      <c r="I123">
        <v>0</v>
      </c>
      <c r="J123" t="s">
        <v>30</v>
      </c>
      <c r="K123">
        <v>5</v>
      </c>
      <c r="L123" s="14">
        <f>G123+K123</f>
        <v>2019</v>
      </c>
      <c r="M123" s="27">
        <f t="shared" si="72"/>
        <v>2019.3333333333333</v>
      </c>
      <c r="N123" s="5">
        <f>6778.26/7</f>
        <v>968.32285714285717</v>
      </c>
      <c r="O123" s="5">
        <f t="shared" si="73"/>
        <v>968.32285714285717</v>
      </c>
      <c r="P123" s="5">
        <f t="shared" si="74"/>
        <v>16.138714285714286</v>
      </c>
      <c r="Q123" s="5">
        <f t="shared" si="67"/>
        <v>193.66457142857143</v>
      </c>
      <c r="R123" s="5">
        <f t="shared" si="68"/>
        <v>64.554857142857145</v>
      </c>
      <c r="S123" s="5">
        <f t="shared" si="69"/>
        <v>774.65828571428574</v>
      </c>
      <c r="T123" s="5">
        <f t="shared" si="70"/>
        <v>839.21314285714288</v>
      </c>
      <c r="U123" s="5">
        <f t="shared" si="71"/>
        <v>129.10971428571429</v>
      </c>
    </row>
    <row r="124" spans="1:21">
      <c r="B124" t="s">
        <v>343</v>
      </c>
      <c r="C124">
        <v>4070</v>
      </c>
      <c r="D124" t="s">
        <v>741</v>
      </c>
      <c r="E124">
        <v>113896</v>
      </c>
      <c r="F124">
        <v>60796</v>
      </c>
      <c r="G124">
        <v>2014</v>
      </c>
      <c r="H124">
        <v>4</v>
      </c>
      <c r="I124">
        <v>0</v>
      </c>
      <c r="J124" t="s">
        <v>30</v>
      </c>
      <c r="K124">
        <v>5</v>
      </c>
      <c r="L124" s="14">
        <f t="shared" si="66"/>
        <v>2019</v>
      </c>
      <c r="M124" s="27">
        <f t="shared" si="72"/>
        <v>2019.3333333333333</v>
      </c>
      <c r="N124" s="5">
        <f>1936.34/2</f>
        <v>968.17</v>
      </c>
      <c r="O124" s="5">
        <f t="shared" si="73"/>
        <v>968.17</v>
      </c>
      <c r="P124" s="5">
        <f t="shared" si="74"/>
        <v>16.136166666666664</v>
      </c>
      <c r="Q124" s="5">
        <f t="shared" si="67"/>
        <v>193.63399999999996</v>
      </c>
      <c r="R124" s="5">
        <f t="shared" si="68"/>
        <v>64.544666666666657</v>
      </c>
      <c r="S124" s="5">
        <f t="shared" si="69"/>
        <v>774.53599999999983</v>
      </c>
      <c r="T124" s="5">
        <f t="shared" si="70"/>
        <v>839.0806666666665</v>
      </c>
      <c r="U124" s="5">
        <f t="shared" si="71"/>
        <v>129.08933333333346</v>
      </c>
    </row>
    <row r="125" spans="1:21">
      <c r="C125">
        <v>4072</v>
      </c>
      <c r="D125" t="s">
        <v>740</v>
      </c>
      <c r="E125">
        <v>113896</v>
      </c>
      <c r="F125">
        <v>60797</v>
      </c>
      <c r="G125">
        <v>2014</v>
      </c>
      <c r="H125">
        <v>4</v>
      </c>
      <c r="I125">
        <v>0</v>
      </c>
      <c r="J125" t="s">
        <v>30</v>
      </c>
      <c r="K125">
        <v>5</v>
      </c>
      <c r="L125" s="14">
        <f>G125+K125</f>
        <v>2019</v>
      </c>
      <c r="M125" s="27">
        <f t="shared" si="72"/>
        <v>2019.3333333333333</v>
      </c>
      <c r="N125" s="5">
        <f>1936.34/2</f>
        <v>968.17</v>
      </c>
      <c r="O125" s="5">
        <f t="shared" si="73"/>
        <v>968.17</v>
      </c>
      <c r="P125" s="5">
        <f t="shared" si="74"/>
        <v>16.136166666666664</v>
      </c>
      <c r="Q125" s="5">
        <f t="shared" si="67"/>
        <v>193.63399999999996</v>
      </c>
      <c r="R125" s="5">
        <f t="shared" si="68"/>
        <v>64.544666666666657</v>
      </c>
      <c r="S125" s="5">
        <f t="shared" si="69"/>
        <v>774.53599999999983</v>
      </c>
      <c r="T125" s="5">
        <f t="shared" si="70"/>
        <v>839.0806666666665</v>
      </c>
      <c r="U125" s="5">
        <f t="shared" si="71"/>
        <v>129.08933333333346</v>
      </c>
    </row>
    <row r="126" spans="1:21">
      <c r="B126" t="s">
        <v>343</v>
      </c>
      <c r="C126">
        <v>4056</v>
      </c>
      <c r="D126" t="s">
        <v>729</v>
      </c>
      <c r="E126">
        <v>118514</v>
      </c>
      <c r="G126">
        <v>2014</v>
      </c>
      <c r="H126">
        <v>11</v>
      </c>
      <c r="I126">
        <v>0</v>
      </c>
      <c r="J126" t="s">
        <v>30</v>
      </c>
      <c r="K126">
        <v>3</v>
      </c>
      <c r="L126" s="14">
        <f t="shared" si="66"/>
        <v>2017</v>
      </c>
      <c r="M126" s="27">
        <f t="shared" si="72"/>
        <v>2017.9166666666667</v>
      </c>
      <c r="N126" s="5">
        <v>8921.6</v>
      </c>
      <c r="O126" s="5">
        <f t="shared" si="73"/>
        <v>8921.6</v>
      </c>
      <c r="P126" s="5">
        <f t="shared" si="74"/>
        <v>247.82222222222222</v>
      </c>
      <c r="Q126" s="5">
        <f t="shared" si="67"/>
        <v>2973.8666666666668</v>
      </c>
      <c r="R126" s="5">
        <f t="shared" si="68"/>
        <v>0</v>
      </c>
      <c r="S126" s="5">
        <f t="shared" si="69"/>
        <v>8921.6</v>
      </c>
      <c r="T126" s="5">
        <f t="shared" si="70"/>
        <v>8921.6</v>
      </c>
      <c r="U126" s="5">
        <f t="shared" si="71"/>
        <v>0</v>
      </c>
    </row>
    <row r="127" spans="1:21">
      <c r="B127" t="s">
        <v>343</v>
      </c>
      <c r="C127">
        <v>4060</v>
      </c>
      <c r="D127" t="s">
        <v>729</v>
      </c>
      <c r="E127">
        <v>118512</v>
      </c>
      <c r="G127">
        <v>2014</v>
      </c>
      <c r="H127">
        <v>11</v>
      </c>
      <c r="I127">
        <v>0</v>
      </c>
      <c r="J127" t="s">
        <v>30</v>
      </c>
      <c r="K127">
        <v>3</v>
      </c>
      <c r="L127" s="14">
        <f t="shared" si="66"/>
        <v>2017</v>
      </c>
      <c r="M127" s="27">
        <f t="shared" si="72"/>
        <v>2017.9166666666667</v>
      </c>
      <c r="N127" s="5">
        <v>8921.6</v>
      </c>
      <c r="O127" s="5">
        <f t="shared" si="73"/>
        <v>8921.6</v>
      </c>
      <c r="P127" s="5">
        <f t="shared" si="74"/>
        <v>247.82222222222222</v>
      </c>
      <c r="Q127" s="5">
        <f t="shared" si="67"/>
        <v>2973.8666666666668</v>
      </c>
      <c r="R127" s="5">
        <f t="shared" si="68"/>
        <v>0</v>
      </c>
      <c r="S127" s="5">
        <f t="shared" si="69"/>
        <v>8921.6</v>
      </c>
      <c r="T127" s="5">
        <f t="shared" si="70"/>
        <v>8921.6</v>
      </c>
      <c r="U127" s="5">
        <f t="shared" si="71"/>
        <v>0</v>
      </c>
    </row>
    <row r="128" spans="1:21">
      <c r="B128" t="s">
        <v>343</v>
      </c>
      <c r="C128">
        <v>4070</v>
      </c>
      <c r="D128" t="s">
        <v>729</v>
      </c>
      <c r="E128">
        <v>118516</v>
      </c>
      <c r="G128">
        <v>2014</v>
      </c>
      <c r="H128">
        <v>12</v>
      </c>
      <c r="I128">
        <v>0</v>
      </c>
      <c r="J128" t="s">
        <v>30</v>
      </c>
      <c r="K128">
        <v>3</v>
      </c>
      <c r="L128" s="14">
        <f t="shared" si="66"/>
        <v>2017</v>
      </c>
      <c r="M128" s="27">
        <f t="shared" si="72"/>
        <v>2018</v>
      </c>
      <c r="N128" s="5">
        <v>8921.6</v>
      </c>
      <c r="O128" s="5">
        <f t="shared" si="73"/>
        <v>8921.6</v>
      </c>
      <c r="P128" s="5">
        <f t="shared" si="74"/>
        <v>247.82222222222222</v>
      </c>
      <c r="Q128" s="5">
        <f t="shared" si="67"/>
        <v>2973.8666666666668</v>
      </c>
      <c r="R128" s="5">
        <f t="shared" si="68"/>
        <v>0</v>
      </c>
      <c r="S128" s="5">
        <f t="shared" si="69"/>
        <v>8921.6</v>
      </c>
      <c r="T128" s="5">
        <f t="shared" si="70"/>
        <v>8921.6</v>
      </c>
      <c r="U128" s="5">
        <f t="shared" si="71"/>
        <v>0</v>
      </c>
    </row>
    <row r="129" spans="1:21">
      <c r="B129" t="s">
        <v>343</v>
      </c>
      <c r="C129">
        <v>4072</v>
      </c>
      <c r="D129" t="s">
        <v>729</v>
      </c>
      <c r="E129">
        <v>118518</v>
      </c>
      <c r="F129">
        <v>60797</v>
      </c>
      <c r="G129">
        <v>2014</v>
      </c>
      <c r="H129">
        <v>12</v>
      </c>
      <c r="I129">
        <v>0</v>
      </c>
      <c r="J129" t="s">
        <v>30</v>
      </c>
      <c r="K129">
        <v>3</v>
      </c>
      <c r="L129" s="14">
        <f t="shared" si="66"/>
        <v>2017</v>
      </c>
      <c r="M129" s="27">
        <f t="shared" si="72"/>
        <v>2018</v>
      </c>
      <c r="N129" s="5">
        <v>8921.6</v>
      </c>
      <c r="O129" s="5">
        <f t="shared" si="73"/>
        <v>8921.6</v>
      </c>
      <c r="P129" s="5">
        <f t="shared" si="74"/>
        <v>247.82222222222222</v>
      </c>
      <c r="Q129" s="5">
        <f t="shared" si="67"/>
        <v>2973.8666666666668</v>
      </c>
      <c r="R129" s="5">
        <f t="shared" ref="R129:R142" si="75">+IF(M129&lt;=$O$5,0,IF(L129&gt;$O$4,Q129,(P129*H129)))</f>
        <v>0</v>
      </c>
      <c r="S129" s="5">
        <f t="shared" ref="S129:S142" si="76">+IF(R129=0,N129,IF($O$3-G129&lt;1,0,(($O$3-G129)*Q129)))</f>
        <v>8921.6</v>
      </c>
      <c r="T129" s="5">
        <f t="shared" ref="T129:T142" si="77">+IF(R129=0,S129,S129+R129)</f>
        <v>8921.6</v>
      </c>
      <c r="U129" s="5">
        <f t="shared" si="71"/>
        <v>0</v>
      </c>
    </row>
    <row r="130" spans="1:21">
      <c r="B130" t="s">
        <v>343</v>
      </c>
      <c r="C130">
        <v>4075</v>
      </c>
      <c r="D130" t="s">
        <v>765</v>
      </c>
      <c r="E130">
        <v>123629</v>
      </c>
      <c r="G130">
        <v>2015</v>
      </c>
      <c r="H130">
        <v>6</v>
      </c>
      <c r="I130">
        <v>0</v>
      </c>
      <c r="J130" t="s">
        <v>30</v>
      </c>
      <c r="K130">
        <v>10</v>
      </c>
      <c r="L130" s="14">
        <f t="shared" si="66"/>
        <v>2025</v>
      </c>
      <c r="M130" s="27">
        <f t="shared" si="72"/>
        <v>2025.5</v>
      </c>
      <c r="N130" s="5">
        <v>202299.47</v>
      </c>
      <c r="O130" s="5">
        <f t="shared" si="73"/>
        <v>202299.47</v>
      </c>
      <c r="P130" s="5">
        <f t="shared" si="74"/>
        <v>1685.8289166666666</v>
      </c>
      <c r="Q130" s="5">
        <f t="shared" si="67"/>
        <v>20229.947</v>
      </c>
      <c r="R130" s="5">
        <f t="shared" si="75"/>
        <v>20229.947</v>
      </c>
      <c r="S130" s="5">
        <f t="shared" si="76"/>
        <v>60689.841</v>
      </c>
      <c r="T130" s="5">
        <f t="shared" si="77"/>
        <v>80919.788</v>
      </c>
      <c r="U130" s="5">
        <f t="shared" si="71"/>
        <v>121379.682</v>
      </c>
    </row>
    <row r="131" spans="1:21">
      <c r="A131" t="s">
        <v>47</v>
      </c>
      <c r="B131" t="s">
        <v>343</v>
      </c>
      <c r="C131">
        <v>4077</v>
      </c>
      <c r="D131" t="s">
        <v>885</v>
      </c>
      <c r="E131">
        <v>189849</v>
      </c>
      <c r="G131">
        <v>2017</v>
      </c>
      <c r="H131">
        <v>12</v>
      </c>
      <c r="I131">
        <v>0</v>
      </c>
      <c r="J131" t="s">
        <v>30</v>
      </c>
      <c r="K131">
        <v>10</v>
      </c>
      <c r="L131" s="14">
        <f t="shared" si="66"/>
        <v>2027</v>
      </c>
      <c r="M131" s="27">
        <f t="shared" si="72"/>
        <v>2028</v>
      </c>
      <c r="N131" s="5">
        <v>257169.54</v>
      </c>
      <c r="O131" s="5">
        <f t="shared" si="73"/>
        <v>257169.54</v>
      </c>
      <c r="P131" s="5">
        <f t="shared" si="74"/>
        <v>2143.0795000000003</v>
      </c>
      <c r="Q131" s="5">
        <f t="shared" si="67"/>
        <v>25716.954000000005</v>
      </c>
      <c r="R131" s="5">
        <f t="shared" si="75"/>
        <v>25716.954000000005</v>
      </c>
      <c r="S131" s="5">
        <f t="shared" si="76"/>
        <v>25716.954000000005</v>
      </c>
      <c r="T131" s="5">
        <f t="shared" si="77"/>
        <v>51433.90800000001</v>
      </c>
      <c r="U131" s="5">
        <f t="shared" si="71"/>
        <v>205735.63199999998</v>
      </c>
    </row>
    <row r="132" spans="1:21">
      <c r="D132" t="s">
        <v>905</v>
      </c>
      <c r="E132">
        <v>189886</v>
      </c>
      <c r="G132">
        <v>2017</v>
      </c>
      <c r="H132">
        <v>12</v>
      </c>
      <c r="I132">
        <v>0</v>
      </c>
      <c r="J132" t="s">
        <v>30</v>
      </c>
      <c r="K132">
        <v>5</v>
      </c>
      <c r="L132" s="14">
        <f t="shared" si="66"/>
        <v>2022</v>
      </c>
      <c r="M132" s="27">
        <f t="shared" si="72"/>
        <v>2023</v>
      </c>
      <c r="N132" s="5">
        <v>2050.4699999999998</v>
      </c>
      <c r="O132" s="5">
        <f t="shared" si="73"/>
        <v>2050.4699999999998</v>
      </c>
      <c r="P132" s="5">
        <f t="shared" si="74"/>
        <v>34.174499999999995</v>
      </c>
      <c r="Q132" s="5">
        <f t="shared" si="67"/>
        <v>410.09399999999994</v>
      </c>
      <c r="R132" s="5">
        <f t="shared" si="75"/>
        <v>410.09399999999994</v>
      </c>
      <c r="S132" s="5">
        <f t="shared" si="76"/>
        <v>410.09399999999994</v>
      </c>
      <c r="T132" s="5">
        <f t="shared" si="77"/>
        <v>820.18799999999987</v>
      </c>
      <c r="U132" s="5">
        <f t="shared" si="71"/>
        <v>1230.2819999999999</v>
      </c>
    </row>
    <row r="133" spans="1:21">
      <c r="B133" t="s">
        <v>343</v>
      </c>
      <c r="C133">
        <v>4077</v>
      </c>
      <c r="D133" t="s">
        <v>921</v>
      </c>
      <c r="E133">
        <v>191851</v>
      </c>
      <c r="F133">
        <v>189849</v>
      </c>
      <c r="G133">
        <v>2018</v>
      </c>
      <c r="H133">
        <v>1</v>
      </c>
      <c r="I133">
        <v>0</v>
      </c>
      <c r="J133" t="s">
        <v>30</v>
      </c>
      <c r="K133">
        <v>10</v>
      </c>
      <c r="L133" s="14">
        <f t="shared" si="66"/>
        <v>2028</v>
      </c>
      <c r="M133" s="27">
        <f t="shared" si="72"/>
        <v>2028.0833333333333</v>
      </c>
      <c r="N133" s="5">
        <v>70.39</v>
      </c>
      <c r="O133" s="5">
        <f t="shared" si="73"/>
        <v>70.39</v>
      </c>
      <c r="P133" s="5">
        <f t="shared" si="74"/>
        <v>0.58658333333333335</v>
      </c>
      <c r="Q133" s="5">
        <f t="shared" si="67"/>
        <v>7.0389999999999997</v>
      </c>
      <c r="R133" s="5">
        <f t="shared" si="75"/>
        <v>7.0389999999999997</v>
      </c>
      <c r="S133" s="5">
        <f t="shared" si="76"/>
        <v>0</v>
      </c>
      <c r="T133" s="5">
        <f t="shared" si="77"/>
        <v>7.0389999999999997</v>
      </c>
      <c r="U133" s="5">
        <f t="shared" si="71"/>
        <v>63.350999999999999</v>
      </c>
    </row>
    <row r="134" spans="1:21">
      <c r="B134" t="s">
        <v>343</v>
      </c>
      <c r="C134">
        <v>4079</v>
      </c>
      <c r="D134" t="s">
        <v>932</v>
      </c>
      <c r="E134">
        <v>199114</v>
      </c>
      <c r="G134">
        <v>2018</v>
      </c>
      <c r="H134">
        <v>6</v>
      </c>
      <c r="I134">
        <v>0</v>
      </c>
      <c r="J134" t="s">
        <v>30</v>
      </c>
      <c r="K134">
        <v>10</v>
      </c>
      <c r="L134" s="14">
        <f t="shared" si="66"/>
        <v>2028</v>
      </c>
      <c r="M134" s="27">
        <f t="shared" si="72"/>
        <v>2028.5</v>
      </c>
      <c r="N134" s="5">
        <v>228215.43</v>
      </c>
      <c r="O134" s="5">
        <f t="shared" si="73"/>
        <v>228215.43</v>
      </c>
      <c r="P134" s="5">
        <f t="shared" si="74"/>
        <v>1901.7952499999999</v>
      </c>
      <c r="Q134" s="5">
        <f t="shared" si="67"/>
        <v>22821.542999999998</v>
      </c>
      <c r="R134" s="5">
        <f t="shared" si="75"/>
        <v>22821.542999999998</v>
      </c>
      <c r="S134" s="5">
        <f t="shared" si="76"/>
        <v>0</v>
      </c>
      <c r="T134" s="5">
        <f t="shared" si="77"/>
        <v>22821.542999999998</v>
      </c>
      <c r="U134" s="5">
        <f t="shared" si="71"/>
        <v>205393.88699999999</v>
      </c>
    </row>
    <row r="135" spans="1:21">
      <c r="B135" t="s">
        <v>343</v>
      </c>
      <c r="C135">
        <v>4079</v>
      </c>
      <c r="D135" t="s">
        <v>933</v>
      </c>
      <c r="E135">
        <v>199416</v>
      </c>
      <c r="F135">
        <v>199114</v>
      </c>
      <c r="G135">
        <v>2018</v>
      </c>
      <c r="H135">
        <v>6</v>
      </c>
      <c r="I135">
        <v>0</v>
      </c>
      <c r="J135" t="s">
        <v>30</v>
      </c>
      <c r="K135">
        <v>10</v>
      </c>
      <c r="L135" s="14">
        <f t="shared" si="66"/>
        <v>2028</v>
      </c>
      <c r="M135" s="27">
        <f t="shared" si="72"/>
        <v>2028.5</v>
      </c>
      <c r="N135" s="5">
        <v>70.39</v>
      </c>
      <c r="O135" s="5">
        <f t="shared" si="73"/>
        <v>70.39</v>
      </c>
      <c r="P135" s="5">
        <f t="shared" si="74"/>
        <v>0.58658333333333335</v>
      </c>
      <c r="Q135" s="5">
        <f t="shared" si="67"/>
        <v>7.0389999999999997</v>
      </c>
      <c r="R135" s="5">
        <f t="shared" si="75"/>
        <v>7.0389999999999997</v>
      </c>
      <c r="S135" s="5">
        <f t="shared" si="76"/>
        <v>0</v>
      </c>
      <c r="T135" s="5">
        <f t="shared" si="77"/>
        <v>7.0389999999999997</v>
      </c>
      <c r="U135" s="5">
        <f t="shared" si="71"/>
        <v>63.350999999999999</v>
      </c>
    </row>
    <row r="136" spans="1:21">
      <c r="B136" t="s">
        <v>343</v>
      </c>
      <c r="C136">
        <v>4081</v>
      </c>
      <c r="D136" t="s">
        <v>935</v>
      </c>
      <c r="E136">
        <v>199418</v>
      </c>
      <c r="F136">
        <v>200784</v>
      </c>
      <c r="G136">
        <v>2018</v>
      </c>
      <c r="H136">
        <v>6</v>
      </c>
      <c r="I136">
        <v>0</v>
      </c>
      <c r="J136" t="s">
        <v>30</v>
      </c>
      <c r="K136">
        <v>10</v>
      </c>
      <c r="L136" s="14">
        <f t="shared" si="66"/>
        <v>2028</v>
      </c>
      <c r="M136" s="27">
        <f t="shared" si="72"/>
        <v>2028.5</v>
      </c>
      <c r="N136" s="5">
        <v>70.39</v>
      </c>
      <c r="O136" s="5">
        <f t="shared" si="73"/>
        <v>70.39</v>
      </c>
      <c r="P136" s="5">
        <f t="shared" si="74"/>
        <v>0.58658333333333335</v>
      </c>
      <c r="Q136" s="5">
        <f t="shared" si="67"/>
        <v>7.0389999999999997</v>
      </c>
      <c r="R136" s="5">
        <f t="shared" si="75"/>
        <v>7.0389999999999997</v>
      </c>
      <c r="S136" s="5">
        <f t="shared" si="76"/>
        <v>0</v>
      </c>
      <c r="T136" s="5">
        <f t="shared" si="77"/>
        <v>7.0389999999999997</v>
      </c>
      <c r="U136" s="5">
        <f t="shared" si="71"/>
        <v>63.350999999999999</v>
      </c>
    </row>
    <row r="137" spans="1:21">
      <c r="B137" t="s">
        <v>343</v>
      </c>
      <c r="C137">
        <v>4078</v>
      </c>
      <c r="D137" t="s">
        <v>932</v>
      </c>
      <c r="E137">
        <v>199115</v>
      </c>
      <c r="G137">
        <v>2018</v>
      </c>
      <c r="H137">
        <v>6</v>
      </c>
      <c r="I137">
        <v>0</v>
      </c>
      <c r="J137" t="s">
        <v>30</v>
      </c>
      <c r="K137">
        <v>10</v>
      </c>
      <c r="L137" s="14">
        <f t="shared" si="66"/>
        <v>2028</v>
      </c>
      <c r="M137" s="27">
        <f t="shared" si="72"/>
        <v>2028.5</v>
      </c>
      <c r="N137" s="5">
        <v>228215.43</v>
      </c>
      <c r="O137" s="5">
        <f t="shared" si="73"/>
        <v>228215.43</v>
      </c>
      <c r="P137" s="5">
        <f t="shared" si="74"/>
        <v>1901.7952499999999</v>
      </c>
      <c r="Q137" s="5">
        <f t="shared" si="67"/>
        <v>22821.542999999998</v>
      </c>
      <c r="R137" s="5">
        <f t="shared" si="75"/>
        <v>22821.542999999998</v>
      </c>
      <c r="S137" s="5">
        <f t="shared" si="76"/>
        <v>0</v>
      </c>
      <c r="T137" s="5">
        <f t="shared" si="77"/>
        <v>22821.542999999998</v>
      </c>
      <c r="U137" s="5">
        <f t="shared" si="71"/>
        <v>205393.88699999999</v>
      </c>
    </row>
    <row r="138" spans="1:21">
      <c r="B138" t="s">
        <v>343</v>
      </c>
      <c r="C138">
        <v>4078</v>
      </c>
      <c r="D138" t="s">
        <v>934</v>
      </c>
      <c r="E138">
        <v>199417</v>
      </c>
      <c r="F138">
        <v>199115</v>
      </c>
      <c r="G138">
        <v>2018</v>
      </c>
      <c r="H138">
        <v>6</v>
      </c>
      <c r="I138">
        <v>0</v>
      </c>
      <c r="J138" t="s">
        <v>30</v>
      </c>
      <c r="K138">
        <v>10</v>
      </c>
      <c r="L138" s="14">
        <f t="shared" si="66"/>
        <v>2028</v>
      </c>
      <c r="M138" s="27">
        <f t="shared" si="72"/>
        <v>2028.5</v>
      </c>
      <c r="N138" s="5">
        <v>70.39</v>
      </c>
      <c r="O138" s="5">
        <f t="shared" si="73"/>
        <v>70.39</v>
      </c>
      <c r="P138" s="5">
        <f t="shared" si="74"/>
        <v>0.58658333333333335</v>
      </c>
      <c r="Q138" s="5">
        <f t="shared" si="67"/>
        <v>7.0389999999999997</v>
      </c>
      <c r="R138" s="5">
        <f t="shared" si="75"/>
        <v>7.0389999999999997</v>
      </c>
      <c r="S138" s="5">
        <f t="shared" si="76"/>
        <v>0</v>
      </c>
      <c r="T138" s="5">
        <f t="shared" si="77"/>
        <v>7.0389999999999997</v>
      </c>
      <c r="U138" s="5">
        <f t="shared" si="71"/>
        <v>63.350999999999999</v>
      </c>
    </row>
    <row r="139" spans="1:21">
      <c r="B139" t="s">
        <v>343</v>
      </c>
      <c r="C139">
        <v>4080</v>
      </c>
      <c r="D139" t="s">
        <v>932</v>
      </c>
      <c r="E139">
        <v>200786</v>
      </c>
      <c r="G139">
        <v>2018</v>
      </c>
      <c r="H139">
        <v>6</v>
      </c>
      <c r="I139">
        <v>0</v>
      </c>
      <c r="J139" t="s">
        <v>30</v>
      </c>
      <c r="K139">
        <v>10</v>
      </c>
      <c r="L139" s="14">
        <f t="shared" si="66"/>
        <v>2028</v>
      </c>
      <c r="M139" s="27">
        <f t="shared" si="72"/>
        <v>2028.5</v>
      </c>
      <c r="N139" s="5">
        <v>228285.83</v>
      </c>
      <c r="O139" s="5">
        <f t="shared" si="73"/>
        <v>228285.83</v>
      </c>
      <c r="P139" s="5">
        <f t="shared" si="74"/>
        <v>1902.3819166666665</v>
      </c>
      <c r="Q139" s="5">
        <f t="shared" si="67"/>
        <v>22828.582999999999</v>
      </c>
      <c r="R139" s="5">
        <f t="shared" si="75"/>
        <v>22828.582999999999</v>
      </c>
      <c r="S139" s="5">
        <f t="shared" si="76"/>
        <v>0</v>
      </c>
      <c r="T139" s="5">
        <f t="shared" si="77"/>
        <v>22828.582999999999</v>
      </c>
      <c r="U139" s="5">
        <f t="shared" si="71"/>
        <v>205457.24699999997</v>
      </c>
    </row>
    <row r="140" spans="1:21">
      <c r="B140" t="s">
        <v>343</v>
      </c>
      <c r="C140">
        <v>4081</v>
      </c>
      <c r="D140" t="s">
        <v>932</v>
      </c>
      <c r="E140">
        <v>200784</v>
      </c>
      <c r="G140">
        <v>2018</v>
      </c>
      <c r="H140">
        <v>7</v>
      </c>
      <c r="I140">
        <v>0</v>
      </c>
      <c r="J140" t="s">
        <v>30</v>
      </c>
      <c r="K140">
        <v>10</v>
      </c>
      <c r="L140" s="14">
        <f t="shared" si="66"/>
        <v>2028</v>
      </c>
      <c r="M140" s="27">
        <f t="shared" si="72"/>
        <v>2028.5833333333333</v>
      </c>
      <c r="N140" s="5">
        <v>228215.43</v>
      </c>
      <c r="O140" s="5">
        <f t="shared" si="73"/>
        <v>228215.43</v>
      </c>
      <c r="P140" s="5">
        <f t="shared" si="74"/>
        <v>1901.7952499999999</v>
      </c>
      <c r="Q140" s="5">
        <f t="shared" si="67"/>
        <v>22821.542999999998</v>
      </c>
      <c r="R140" s="5">
        <f t="shared" si="75"/>
        <v>22821.542999999998</v>
      </c>
      <c r="S140" s="5">
        <f t="shared" si="76"/>
        <v>0</v>
      </c>
      <c r="T140" s="5">
        <f t="shared" si="77"/>
        <v>22821.542999999998</v>
      </c>
      <c r="U140" s="5">
        <f t="shared" si="71"/>
        <v>205393.88699999999</v>
      </c>
    </row>
    <row r="141" spans="1:21">
      <c r="B141" t="s">
        <v>343</v>
      </c>
      <c r="C141">
        <v>4087</v>
      </c>
      <c r="D141" t="s">
        <v>932</v>
      </c>
      <c r="E141">
        <v>223828</v>
      </c>
      <c r="G141">
        <v>2019</v>
      </c>
      <c r="H141">
        <v>11</v>
      </c>
      <c r="I141">
        <v>0</v>
      </c>
      <c r="J141" t="s">
        <v>30</v>
      </c>
      <c r="K141">
        <v>10</v>
      </c>
      <c r="L141" s="14">
        <f t="shared" si="66"/>
        <v>2029</v>
      </c>
      <c r="M141" s="27">
        <f t="shared" si="72"/>
        <v>2029.9166666666667</v>
      </c>
      <c r="N141" s="5">
        <v>269330.87</v>
      </c>
      <c r="O141" s="5">
        <f t="shared" si="73"/>
        <v>269330.87</v>
      </c>
      <c r="P141" s="5">
        <f t="shared" si="74"/>
        <v>2244.4239166666666</v>
      </c>
      <c r="Q141" s="5">
        <f t="shared" si="67"/>
        <v>26933.087</v>
      </c>
      <c r="R141" s="5">
        <f t="shared" si="75"/>
        <v>26933.087</v>
      </c>
      <c r="S141" s="5">
        <f t="shared" si="76"/>
        <v>0</v>
      </c>
      <c r="T141" s="5">
        <f t="shared" si="77"/>
        <v>26933.087</v>
      </c>
      <c r="U141" s="5">
        <f t="shared" si="71"/>
        <v>242397.783</v>
      </c>
    </row>
    <row r="142" spans="1:21">
      <c r="B142" t="s">
        <v>343</v>
      </c>
      <c r="C142">
        <v>4088</v>
      </c>
      <c r="D142" t="s">
        <v>1142</v>
      </c>
      <c r="E142">
        <v>225680</v>
      </c>
      <c r="G142">
        <v>2019</v>
      </c>
      <c r="H142">
        <v>11</v>
      </c>
      <c r="I142">
        <v>0</v>
      </c>
      <c r="J142" t="s">
        <v>30</v>
      </c>
      <c r="K142">
        <v>10</v>
      </c>
      <c r="L142" s="14">
        <f t="shared" si="66"/>
        <v>2029</v>
      </c>
      <c r="M142" s="27">
        <f t="shared" si="72"/>
        <v>2029.9166666666667</v>
      </c>
      <c r="N142" s="5">
        <v>270731.48</v>
      </c>
      <c r="O142" s="5">
        <f t="shared" si="73"/>
        <v>270731.48</v>
      </c>
      <c r="P142" s="5">
        <f t="shared" si="74"/>
        <v>2256.0956666666666</v>
      </c>
      <c r="Q142" s="5">
        <f t="shared" si="67"/>
        <v>27073.148000000001</v>
      </c>
      <c r="R142" s="5">
        <f t="shared" si="75"/>
        <v>27073.148000000001</v>
      </c>
      <c r="S142" s="5">
        <f t="shared" si="76"/>
        <v>0</v>
      </c>
      <c r="T142" s="5">
        <f t="shared" si="77"/>
        <v>27073.148000000001</v>
      </c>
      <c r="U142" s="5">
        <f t="shared" si="71"/>
        <v>243658.33199999999</v>
      </c>
    </row>
    <row r="143" spans="1:21" s="53" customFormat="1">
      <c r="A143" s="53" t="s">
        <v>1199</v>
      </c>
      <c r="D143" s="53" t="s">
        <v>1198</v>
      </c>
      <c r="G143" s="53">
        <v>2020</v>
      </c>
      <c r="H143" s="53">
        <v>3</v>
      </c>
      <c r="I143" s="53">
        <v>0</v>
      </c>
      <c r="J143" s="53" t="s">
        <v>30</v>
      </c>
      <c r="K143" s="53">
        <v>10</v>
      </c>
      <c r="L143" s="54">
        <f t="shared" si="66"/>
        <v>2030</v>
      </c>
      <c r="M143" s="55">
        <f t="shared" si="72"/>
        <v>2030.25</v>
      </c>
      <c r="N143" s="56">
        <v>251598</v>
      </c>
      <c r="O143" s="56">
        <f t="shared" ref="O143:O146" si="78">N143-N143*I143</f>
        <v>251598</v>
      </c>
      <c r="P143" s="56">
        <f t="shared" ref="P143:P146" si="79">O143/K143/12</f>
        <v>2096.65</v>
      </c>
      <c r="Q143" s="56">
        <f t="shared" ref="Q143:Q146" si="80">P143*12</f>
        <v>25159.800000000003</v>
      </c>
      <c r="R143" s="56">
        <f t="shared" ref="R143:R146" si="81">+IF(M143&lt;=$O$5,0,IF(L143&gt;$O$4,Q143,(P143*H143)))</f>
        <v>25159.800000000003</v>
      </c>
      <c r="S143" s="56">
        <f t="shared" ref="S143:S146" si="82">+IF(R143=0,N143,IF($O$3-G143&lt;1,0,(($O$3-G143)*Q143)))</f>
        <v>0</v>
      </c>
      <c r="T143" s="56">
        <f t="shared" ref="T143:T146" si="83">+IF(R143=0,S143,S143+R143)</f>
        <v>25159.800000000003</v>
      </c>
      <c r="U143" s="56">
        <f t="shared" ref="U143:U146" si="84">+N143-T143</f>
        <v>226438.2</v>
      </c>
    </row>
    <row r="144" spans="1:21" s="53" customFormat="1">
      <c r="A144" s="53" t="s">
        <v>1199</v>
      </c>
      <c r="D144" s="53" t="s">
        <v>1198</v>
      </c>
      <c r="G144" s="53">
        <v>2020</v>
      </c>
      <c r="H144" s="53">
        <v>3</v>
      </c>
      <c r="I144" s="53">
        <v>0</v>
      </c>
      <c r="J144" s="53" t="s">
        <v>30</v>
      </c>
      <c r="K144" s="53">
        <v>10</v>
      </c>
      <c r="L144" s="54">
        <f t="shared" si="66"/>
        <v>2030</v>
      </c>
      <c r="M144" s="55">
        <f t="shared" si="72"/>
        <v>2030.25</v>
      </c>
      <c r="N144" s="56">
        <v>251598</v>
      </c>
      <c r="O144" s="56">
        <f t="shared" si="78"/>
        <v>251598</v>
      </c>
      <c r="P144" s="56">
        <f t="shared" si="79"/>
        <v>2096.65</v>
      </c>
      <c r="Q144" s="56">
        <f t="shared" si="80"/>
        <v>25159.800000000003</v>
      </c>
      <c r="R144" s="56">
        <f t="shared" si="81"/>
        <v>25159.800000000003</v>
      </c>
      <c r="S144" s="56">
        <f t="shared" si="82"/>
        <v>0</v>
      </c>
      <c r="T144" s="56">
        <f t="shared" si="83"/>
        <v>25159.800000000003</v>
      </c>
      <c r="U144" s="56">
        <f t="shared" si="84"/>
        <v>226438.2</v>
      </c>
    </row>
    <row r="145" spans="1:21" s="53" customFormat="1">
      <c r="A145" s="53" t="s">
        <v>1199</v>
      </c>
      <c r="D145" s="53" t="s">
        <v>1198</v>
      </c>
      <c r="G145" s="53">
        <v>2020</v>
      </c>
      <c r="H145" s="53">
        <v>3</v>
      </c>
      <c r="I145" s="53">
        <v>0</v>
      </c>
      <c r="J145" s="53" t="s">
        <v>30</v>
      </c>
      <c r="K145" s="53">
        <v>10</v>
      </c>
      <c r="L145" s="54">
        <f t="shared" si="66"/>
        <v>2030</v>
      </c>
      <c r="M145" s="55">
        <f t="shared" si="72"/>
        <v>2030.25</v>
      </c>
      <c r="N145" s="56">
        <v>251598</v>
      </c>
      <c r="O145" s="56">
        <f t="shared" si="78"/>
        <v>251598</v>
      </c>
      <c r="P145" s="56">
        <f t="shared" si="79"/>
        <v>2096.65</v>
      </c>
      <c r="Q145" s="56">
        <f t="shared" si="80"/>
        <v>25159.800000000003</v>
      </c>
      <c r="R145" s="56">
        <f t="shared" si="81"/>
        <v>25159.800000000003</v>
      </c>
      <c r="S145" s="56">
        <f t="shared" si="82"/>
        <v>0</v>
      </c>
      <c r="T145" s="56">
        <f t="shared" si="83"/>
        <v>25159.800000000003</v>
      </c>
      <c r="U145" s="56">
        <f t="shared" si="84"/>
        <v>226438.2</v>
      </c>
    </row>
    <row r="146" spans="1:21" s="53" customFormat="1">
      <c r="A146" s="53" t="s">
        <v>1199</v>
      </c>
      <c r="D146" s="53" t="s">
        <v>1198</v>
      </c>
      <c r="G146" s="53">
        <v>2020</v>
      </c>
      <c r="H146" s="53">
        <v>3</v>
      </c>
      <c r="I146" s="53">
        <v>0</v>
      </c>
      <c r="J146" s="53" t="s">
        <v>30</v>
      </c>
      <c r="K146" s="53">
        <v>10</v>
      </c>
      <c r="L146" s="54">
        <f t="shared" si="66"/>
        <v>2030</v>
      </c>
      <c r="M146" s="55">
        <f t="shared" si="72"/>
        <v>2030.25</v>
      </c>
      <c r="N146" s="56">
        <v>251598</v>
      </c>
      <c r="O146" s="56">
        <f t="shared" si="78"/>
        <v>251598</v>
      </c>
      <c r="P146" s="56">
        <f t="shared" si="79"/>
        <v>2096.65</v>
      </c>
      <c r="Q146" s="56">
        <f t="shared" si="80"/>
        <v>25159.800000000003</v>
      </c>
      <c r="R146" s="56">
        <f t="shared" si="81"/>
        <v>25159.800000000003</v>
      </c>
      <c r="S146" s="56">
        <f t="shared" si="82"/>
        <v>0</v>
      </c>
      <c r="T146" s="56">
        <f t="shared" si="83"/>
        <v>25159.800000000003</v>
      </c>
      <c r="U146" s="56">
        <f t="shared" si="84"/>
        <v>226438.2</v>
      </c>
    </row>
    <row r="147" spans="1:21" s="53" customFormat="1">
      <c r="A147" s="53" t="s">
        <v>1200</v>
      </c>
      <c r="D147" s="53" t="s">
        <v>1198</v>
      </c>
      <c r="G147" s="53">
        <v>2020</v>
      </c>
      <c r="H147" s="53">
        <v>3</v>
      </c>
      <c r="I147" s="53">
        <v>0</v>
      </c>
      <c r="J147" s="53" t="s">
        <v>30</v>
      </c>
      <c r="K147" s="53">
        <v>10</v>
      </c>
      <c r="L147" s="54">
        <f t="shared" ref="L147" si="85">G147+K147</f>
        <v>2030</v>
      </c>
      <c r="M147" s="55">
        <f t="shared" ref="M147" si="86">+L147+(H147/12)</f>
        <v>2030.25</v>
      </c>
      <c r="N147" s="56">
        <v>251598</v>
      </c>
      <c r="O147" s="56">
        <f t="shared" ref="O147" si="87">N147-N147*I147</f>
        <v>251598</v>
      </c>
      <c r="P147" s="56">
        <f t="shared" ref="P147" si="88">O147/K147/12</f>
        <v>2096.65</v>
      </c>
      <c r="Q147" s="56">
        <f t="shared" ref="Q147" si="89">P147*12</f>
        <v>25159.800000000003</v>
      </c>
      <c r="R147" s="56">
        <f t="shared" ref="R147" si="90">+IF(M147&lt;=$O$5,0,IF(L147&gt;$O$4,Q147,(P147*H147)))</f>
        <v>25159.800000000003</v>
      </c>
      <c r="S147" s="56">
        <f t="shared" ref="S147" si="91">+IF(R147=0,N147,IF($O$3-G147&lt;1,0,(($O$3-G147)*Q147)))</f>
        <v>0</v>
      </c>
      <c r="T147" s="56">
        <f t="shared" ref="T147" si="92">+IF(R147=0,S147,S147+R147)</f>
        <v>25159.800000000003</v>
      </c>
      <c r="U147" s="56">
        <f t="shared" ref="U147" si="93">+N147-T147</f>
        <v>226438.2</v>
      </c>
    </row>
    <row r="148" spans="1:21" s="26" customFormat="1">
      <c r="A148" s="24"/>
      <c r="B148" s="24"/>
      <c r="C148" s="24"/>
      <c r="D148" s="24" t="s">
        <v>1201</v>
      </c>
      <c r="E148" s="24"/>
      <c r="F148" s="24"/>
      <c r="G148" s="24"/>
      <c r="H148" s="24"/>
      <c r="I148" s="24"/>
      <c r="J148" s="24"/>
      <c r="K148" s="24"/>
      <c r="L148" s="29"/>
      <c r="M148" s="28"/>
      <c r="N148" s="25"/>
      <c r="O148" s="25"/>
      <c r="P148" s="25"/>
      <c r="Q148" s="25"/>
      <c r="R148" s="25">
        <f>SUM(R476+R480)</f>
        <v>20835.658666666666</v>
      </c>
      <c r="S148" s="25"/>
      <c r="T148" s="25"/>
      <c r="U148" s="25">
        <v>0</v>
      </c>
    </row>
    <row r="149" spans="1:21" s="17" customFormat="1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9"/>
      <c r="M149" s="60"/>
      <c r="N149" s="61"/>
      <c r="O149" s="61"/>
      <c r="P149" s="61"/>
      <c r="Q149" s="61"/>
      <c r="R149" s="61"/>
      <c r="S149" s="61"/>
      <c r="T149" s="61"/>
      <c r="U149" s="61"/>
    </row>
    <row r="150" spans="1:21">
      <c r="L150" s="6" t="s">
        <v>432</v>
      </c>
      <c r="N150" s="9">
        <f>SUM(N111:N149)</f>
        <v>3477357.1560694766</v>
      </c>
      <c r="O150" s="9">
        <f t="shared" ref="O150:U150" si="94">SUM(O111:O149)</f>
        <v>3477357.1560694766</v>
      </c>
      <c r="P150" s="9">
        <f t="shared" si="94"/>
        <v>31726.02711544367</v>
      </c>
      <c r="Q150" s="9">
        <f t="shared" si="94"/>
        <v>380712.3253853239</v>
      </c>
      <c r="R150" s="9">
        <f>SUM(R111:R149)</f>
        <v>353071.06971428567</v>
      </c>
      <c r="S150" s="9">
        <f t="shared" si="94"/>
        <v>347133.09592661983</v>
      </c>
      <c r="T150" s="9">
        <f t="shared" si="94"/>
        <v>679368.50697423914</v>
      </c>
      <c r="U150" s="9">
        <f t="shared" si="94"/>
        <v>2797988.6490952387</v>
      </c>
    </row>
    <row r="151" spans="1:21">
      <c r="N151" s="5"/>
      <c r="O151" s="5"/>
      <c r="P151" s="5"/>
      <c r="Q151" s="5"/>
      <c r="R151" s="5"/>
      <c r="S151" s="5"/>
      <c r="T151" s="5"/>
      <c r="U151" s="5"/>
    </row>
    <row r="152" spans="1:21">
      <c r="B152" s="4" t="s">
        <v>1190</v>
      </c>
      <c r="N152" s="5"/>
      <c r="O152" s="5"/>
      <c r="P152" s="5"/>
      <c r="Q152" s="5"/>
      <c r="R152" s="5"/>
      <c r="S152" s="5"/>
      <c r="T152" s="5"/>
      <c r="U152" s="5"/>
    </row>
    <row r="153" spans="1:21">
      <c r="C153">
        <v>11085</v>
      </c>
      <c r="D153" t="s">
        <v>33</v>
      </c>
      <c r="G153">
        <v>2004</v>
      </c>
      <c r="H153">
        <v>12</v>
      </c>
      <c r="I153">
        <v>0</v>
      </c>
      <c r="J153" t="s">
        <v>30</v>
      </c>
      <c r="K153">
        <v>5</v>
      </c>
      <c r="L153">
        <f t="shared" ref="L153:L201" si="95">G153+K153</f>
        <v>2009</v>
      </c>
      <c r="M153" s="27">
        <f t="shared" ref="M153:M201" si="96">+L153+(H153/12)</f>
        <v>2010</v>
      </c>
      <c r="N153" s="5">
        <f>'2180 Trucks - Orig.'!O180</f>
        <v>37791.174666666673</v>
      </c>
      <c r="O153" s="5">
        <f t="shared" ref="O153:O201" si="97">N153-N153*I153</f>
        <v>37791.174666666673</v>
      </c>
      <c r="P153" s="5">
        <f t="shared" ref="P153:P201" si="98">O153/K153/12</f>
        <v>629.85291111111121</v>
      </c>
      <c r="Q153" s="5">
        <f t="shared" ref="Q153:Q201" si="99">P153*12</f>
        <v>7558.234933333335</v>
      </c>
      <c r="R153" s="5">
        <f t="shared" ref="R153:R201" si="100">+IF(M153&lt;=$O$5,0,IF(L153&gt;$O$4,Q153,(P153*H153)))</f>
        <v>0</v>
      </c>
      <c r="S153" s="5">
        <f t="shared" ref="S153:S208" si="101">+IF(R153=0,N153,IF($O$3-G153&lt;1,0,(($O$3-G153)*Q153)))</f>
        <v>37791.174666666673</v>
      </c>
      <c r="T153" s="5">
        <f t="shared" ref="T153:T201" si="102">+IF(R153=0,S153,S153+R153)</f>
        <v>37791.174666666673</v>
      </c>
      <c r="U153" s="5">
        <f t="shared" ref="U153:U201" si="103">+N153-T153</f>
        <v>0</v>
      </c>
    </row>
    <row r="154" spans="1:21" s="26" customFormat="1">
      <c r="A154" s="24"/>
      <c r="B154" s="24"/>
      <c r="C154" s="24"/>
      <c r="D154" s="24" t="s">
        <v>962</v>
      </c>
      <c r="E154" s="24"/>
      <c r="F154" s="24"/>
      <c r="G154" s="24">
        <v>2018</v>
      </c>
      <c r="H154" s="24">
        <v>12</v>
      </c>
      <c r="I154" s="24">
        <v>0</v>
      </c>
      <c r="J154" s="24" t="s">
        <v>30</v>
      </c>
      <c r="K154" s="24">
        <f>+IF(L153-$O$3&gt;=3,L153-$O$3,3)</f>
        <v>3</v>
      </c>
      <c r="L154" s="29">
        <f t="shared" si="95"/>
        <v>2021</v>
      </c>
      <c r="M154" s="28">
        <f t="shared" si="96"/>
        <v>2022</v>
      </c>
      <c r="N154" s="25">
        <f>'2180 Trucks - Orig.'!N180-'2180 Trucks'!N153</f>
        <v>9447.7936666666646</v>
      </c>
      <c r="O154" s="25">
        <f t="shared" si="97"/>
        <v>9447.7936666666646</v>
      </c>
      <c r="P154" s="25">
        <f t="shared" si="98"/>
        <v>262.43871296296294</v>
      </c>
      <c r="Q154" s="25">
        <f t="shared" si="99"/>
        <v>3149.2645555555555</v>
      </c>
      <c r="R154" s="25">
        <f t="shared" si="100"/>
        <v>3149.2645555555555</v>
      </c>
      <c r="S154" s="25">
        <f t="shared" si="101"/>
        <v>0</v>
      </c>
      <c r="T154" s="25">
        <f t="shared" si="102"/>
        <v>3149.2645555555555</v>
      </c>
      <c r="U154" s="25">
        <f t="shared" si="103"/>
        <v>6298.5291111111092</v>
      </c>
    </row>
    <row r="155" spans="1:21">
      <c r="D155" t="s">
        <v>446</v>
      </c>
      <c r="E155" t="s">
        <v>445</v>
      </c>
      <c r="G155">
        <v>2006</v>
      </c>
      <c r="H155">
        <v>12</v>
      </c>
      <c r="I155">
        <v>0</v>
      </c>
      <c r="J155" t="s">
        <v>30</v>
      </c>
      <c r="K155">
        <v>5</v>
      </c>
      <c r="L155">
        <f t="shared" si="95"/>
        <v>2011</v>
      </c>
      <c r="M155" s="27">
        <f t="shared" si="96"/>
        <v>2012</v>
      </c>
      <c r="N155" s="5">
        <f>(9918.49+20060.36+141742.3)*11/36</f>
        <v>52470.351388888885</v>
      </c>
      <c r="O155" s="5">
        <f t="shared" si="97"/>
        <v>52470.351388888885</v>
      </c>
      <c r="P155" s="5">
        <f t="shared" si="98"/>
        <v>874.50585648148137</v>
      </c>
      <c r="Q155" s="5">
        <f t="shared" si="99"/>
        <v>10494.070277777777</v>
      </c>
      <c r="R155" s="5">
        <f t="shared" si="100"/>
        <v>0</v>
      </c>
      <c r="S155" s="5">
        <f t="shared" si="101"/>
        <v>52470.351388888885</v>
      </c>
      <c r="T155" s="5">
        <f t="shared" si="102"/>
        <v>52470.351388888885</v>
      </c>
      <c r="U155" s="5">
        <f t="shared" si="103"/>
        <v>0</v>
      </c>
    </row>
    <row r="156" spans="1:21">
      <c r="A156" t="s">
        <v>36</v>
      </c>
      <c r="B156" t="s">
        <v>341</v>
      </c>
      <c r="C156">
        <v>1053</v>
      </c>
      <c r="D156" t="s">
        <v>56</v>
      </c>
      <c r="G156">
        <v>2007</v>
      </c>
      <c r="H156">
        <v>5</v>
      </c>
      <c r="I156">
        <v>0.2</v>
      </c>
      <c r="J156" t="s">
        <v>30</v>
      </c>
      <c r="K156">
        <v>7</v>
      </c>
      <c r="L156">
        <f>G156+K156</f>
        <v>2014</v>
      </c>
      <c r="M156" s="27">
        <f>+L156+(H156/12)</f>
        <v>2014.4166666666667</v>
      </c>
      <c r="N156" s="5">
        <v>126959.69</v>
      </c>
      <c r="O156" s="5">
        <f>N156-N156*I156</f>
        <v>101567.75200000001</v>
      </c>
      <c r="P156" s="5">
        <f>O156/K156/12</f>
        <v>1209.139904761905</v>
      </c>
      <c r="Q156" s="5">
        <f>P156*12</f>
        <v>14509.678857142859</v>
      </c>
      <c r="R156" s="5">
        <f>+IF(M156&lt;=$O$5,0,IF(L156&gt;$O$4,Q156,(P156*H156)))</f>
        <v>0</v>
      </c>
      <c r="S156" s="5">
        <f>+IF(R156=0,N156,IF($O$3-G156&lt;1,0,(($O$3-G156)*Q156)))</f>
        <v>126959.69</v>
      </c>
      <c r="T156" s="5">
        <f>+IF(R156=0,S156,S156+R156)</f>
        <v>126959.69</v>
      </c>
      <c r="U156" s="5">
        <f>+N156-T156</f>
        <v>0</v>
      </c>
    </row>
    <row r="157" spans="1:21">
      <c r="A157" t="s">
        <v>36</v>
      </c>
      <c r="C157">
        <v>1053</v>
      </c>
      <c r="D157" t="s">
        <v>737</v>
      </c>
      <c r="E157">
        <v>116164</v>
      </c>
      <c r="F157">
        <v>90521</v>
      </c>
      <c r="G157">
        <v>2014</v>
      </c>
      <c r="H157">
        <v>9</v>
      </c>
      <c r="I157">
        <v>0</v>
      </c>
      <c r="J157" t="s">
        <v>30</v>
      </c>
      <c r="K157">
        <v>3</v>
      </c>
      <c r="L157">
        <f>G157+K157</f>
        <v>2017</v>
      </c>
      <c r="M157" s="27">
        <f>+L157+(H157/12)</f>
        <v>2017.75</v>
      </c>
      <c r="N157" s="5">
        <v>28134.68</v>
      </c>
      <c r="O157" s="5">
        <f>N157-N157*I157</f>
        <v>28134.68</v>
      </c>
      <c r="P157" s="5">
        <f>O157/K157/12</f>
        <v>781.51888888888891</v>
      </c>
      <c r="Q157" s="5">
        <f>P157*12</f>
        <v>9378.2266666666674</v>
      </c>
      <c r="R157" s="5">
        <f>+IF(M157&lt;=$O$5,0,IF(L157&gt;$O$4,Q157,(P157*H157)))</f>
        <v>0</v>
      </c>
      <c r="S157" s="5">
        <f>+IF(R157=0,N157,IF($O$3-G157&lt;1,0,(($O$3-G157)*Q157)))</f>
        <v>28134.68</v>
      </c>
      <c r="T157" s="5">
        <f>+IF(R157=0,S157,S157+R157)</f>
        <v>28134.68</v>
      </c>
      <c r="U157" s="5">
        <f>+N157-T157</f>
        <v>0</v>
      </c>
    </row>
    <row r="158" spans="1:21">
      <c r="A158" t="s">
        <v>1149</v>
      </c>
      <c r="B158" t="s">
        <v>342</v>
      </c>
      <c r="C158">
        <v>3610</v>
      </c>
      <c r="D158" t="s">
        <v>211</v>
      </c>
      <c r="G158">
        <v>2007</v>
      </c>
      <c r="H158">
        <v>8</v>
      </c>
      <c r="I158">
        <v>0</v>
      </c>
      <c r="J158" t="s">
        <v>30</v>
      </c>
      <c r="K158">
        <v>7</v>
      </c>
      <c r="L158">
        <f t="shared" si="95"/>
        <v>2014</v>
      </c>
      <c r="M158" s="27">
        <f t="shared" si="96"/>
        <v>2014.6666666666667</v>
      </c>
      <c r="N158" s="5">
        <f>'2180 Trucks - Orig.'!O41</f>
        <v>155764.03200000001</v>
      </c>
      <c r="O158" s="5">
        <f t="shared" si="97"/>
        <v>155764.03200000001</v>
      </c>
      <c r="P158" s="5">
        <f t="shared" si="98"/>
        <v>1854.3337142857144</v>
      </c>
      <c r="Q158" s="5">
        <f t="shared" si="99"/>
        <v>22252.004571428573</v>
      </c>
      <c r="R158" s="5">
        <f t="shared" si="100"/>
        <v>0</v>
      </c>
      <c r="S158" s="5">
        <f t="shared" si="101"/>
        <v>155764.03200000001</v>
      </c>
      <c r="T158" s="5">
        <f t="shared" si="102"/>
        <v>155764.03200000001</v>
      </c>
      <c r="U158" s="5">
        <f t="shared" si="103"/>
        <v>0</v>
      </c>
    </row>
    <row r="159" spans="1:21" s="26" customFormat="1">
      <c r="A159" s="24"/>
      <c r="B159" s="24"/>
      <c r="C159" s="24"/>
      <c r="D159" s="24" t="s">
        <v>975</v>
      </c>
      <c r="E159" s="24"/>
      <c r="F159" s="24"/>
      <c r="G159" s="24">
        <v>2018</v>
      </c>
      <c r="H159" s="24">
        <v>12</v>
      </c>
      <c r="I159" s="24">
        <v>0</v>
      </c>
      <c r="J159" s="24" t="s">
        <v>30</v>
      </c>
      <c r="K159" s="24">
        <f>+IF(L158-$O$3&gt;=3,L158-$O$3,3)</f>
        <v>3</v>
      </c>
      <c r="L159" s="29">
        <f t="shared" si="95"/>
        <v>2021</v>
      </c>
      <c r="M159" s="28">
        <f t="shared" si="96"/>
        <v>2022</v>
      </c>
      <c r="N159" s="25">
        <f>'2180 Trucks - Orig.'!N41-'2180 Trucks'!N158</f>
        <v>38941.008000000002</v>
      </c>
      <c r="O159" s="25">
        <f t="shared" si="97"/>
        <v>38941.008000000002</v>
      </c>
      <c r="P159" s="25">
        <f t="shared" si="98"/>
        <v>1081.6946666666668</v>
      </c>
      <c r="Q159" s="25">
        <f t="shared" si="99"/>
        <v>12980.336000000001</v>
      </c>
      <c r="R159" s="25">
        <f t="shared" si="100"/>
        <v>12980.336000000001</v>
      </c>
      <c r="S159" s="25">
        <f t="shared" si="101"/>
        <v>0</v>
      </c>
      <c r="T159" s="25">
        <f t="shared" si="102"/>
        <v>12980.336000000001</v>
      </c>
      <c r="U159" s="25">
        <f t="shared" si="103"/>
        <v>25960.671999999999</v>
      </c>
    </row>
    <row r="160" spans="1:21">
      <c r="A160" t="s">
        <v>1149</v>
      </c>
      <c r="B160" t="s">
        <v>342</v>
      </c>
      <c r="C160">
        <v>3611</v>
      </c>
      <c r="D160" t="s">
        <v>211</v>
      </c>
      <c r="G160">
        <v>2007</v>
      </c>
      <c r="H160">
        <v>8</v>
      </c>
      <c r="I160">
        <v>0</v>
      </c>
      <c r="J160" t="s">
        <v>30</v>
      </c>
      <c r="K160">
        <v>7</v>
      </c>
      <c r="L160">
        <f t="shared" si="95"/>
        <v>2014</v>
      </c>
      <c r="M160" s="27">
        <f t="shared" si="96"/>
        <v>2014.6666666666667</v>
      </c>
      <c r="N160" s="5">
        <f>'2180 Trucks - Orig.'!O42</f>
        <v>155764.03200000001</v>
      </c>
      <c r="O160" s="5">
        <f t="shared" si="97"/>
        <v>155764.03200000001</v>
      </c>
      <c r="P160" s="5">
        <f t="shared" si="98"/>
        <v>1854.3337142857144</v>
      </c>
      <c r="Q160" s="5">
        <f t="shared" si="99"/>
        <v>22252.004571428573</v>
      </c>
      <c r="R160" s="5">
        <f t="shared" si="100"/>
        <v>0</v>
      </c>
      <c r="S160" s="5">
        <f t="shared" si="101"/>
        <v>155764.03200000001</v>
      </c>
      <c r="T160" s="5">
        <f t="shared" si="102"/>
        <v>155764.03200000001</v>
      </c>
      <c r="U160" s="5">
        <f t="shared" si="103"/>
        <v>0</v>
      </c>
    </row>
    <row r="161" spans="1:21" s="26" customFormat="1">
      <c r="A161" s="24"/>
      <c r="B161" s="24"/>
      <c r="C161" s="24"/>
      <c r="D161" s="24" t="s">
        <v>975</v>
      </c>
      <c r="E161" s="24"/>
      <c r="F161" s="24"/>
      <c r="G161" s="24">
        <v>2018</v>
      </c>
      <c r="H161" s="24">
        <v>12</v>
      </c>
      <c r="I161" s="24">
        <v>0</v>
      </c>
      <c r="J161" s="24" t="s">
        <v>30</v>
      </c>
      <c r="K161" s="24">
        <f>+IF(L160-$O$3&gt;=3,L160-$O$3,3)</f>
        <v>3</v>
      </c>
      <c r="L161" s="29">
        <f t="shared" si="95"/>
        <v>2021</v>
      </c>
      <c r="M161" s="28">
        <f t="shared" si="96"/>
        <v>2022</v>
      </c>
      <c r="N161" s="25">
        <f>'2180 Trucks - Orig.'!N42-'2180 Trucks'!N160</f>
        <v>38941.008000000002</v>
      </c>
      <c r="O161" s="25">
        <f t="shared" si="97"/>
        <v>38941.008000000002</v>
      </c>
      <c r="P161" s="25">
        <f t="shared" si="98"/>
        <v>1081.6946666666668</v>
      </c>
      <c r="Q161" s="25">
        <f t="shared" si="99"/>
        <v>12980.336000000001</v>
      </c>
      <c r="R161" s="25">
        <f t="shared" si="100"/>
        <v>12980.336000000001</v>
      </c>
      <c r="S161" s="25">
        <f t="shared" si="101"/>
        <v>0</v>
      </c>
      <c r="T161" s="25">
        <f t="shared" si="102"/>
        <v>12980.336000000001</v>
      </c>
      <c r="U161" s="25">
        <f t="shared" si="103"/>
        <v>25960.671999999999</v>
      </c>
    </row>
    <row r="162" spans="1:21">
      <c r="A162" t="s">
        <v>1149</v>
      </c>
      <c r="B162" t="s">
        <v>342</v>
      </c>
      <c r="C162">
        <v>3616</v>
      </c>
      <c r="D162" t="s">
        <v>58</v>
      </c>
      <c r="G162">
        <v>2007</v>
      </c>
      <c r="H162">
        <v>9</v>
      </c>
      <c r="I162">
        <v>0</v>
      </c>
      <c r="J162" t="s">
        <v>30</v>
      </c>
      <c r="K162">
        <v>7</v>
      </c>
      <c r="L162">
        <f t="shared" si="95"/>
        <v>2014</v>
      </c>
      <c r="M162" s="27">
        <f t="shared" si="96"/>
        <v>2014.75</v>
      </c>
      <c r="N162" s="5">
        <f>'2180 Trucks - Orig.'!O43</f>
        <v>155764.03200000001</v>
      </c>
      <c r="O162" s="5">
        <f t="shared" si="97"/>
        <v>155764.03200000001</v>
      </c>
      <c r="P162" s="5">
        <f t="shared" si="98"/>
        <v>1854.3337142857144</v>
      </c>
      <c r="Q162" s="5">
        <f t="shared" si="99"/>
        <v>22252.004571428573</v>
      </c>
      <c r="R162" s="5">
        <f t="shared" si="100"/>
        <v>0</v>
      </c>
      <c r="S162" s="5">
        <f t="shared" si="101"/>
        <v>155764.03200000001</v>
      </c>
      <c r="T162" s="5">
        <f t="shared" si="102"/>
        <v>155764.03200000001</v>
      </c>
      <c r="U162" s="5">
        <f t="shared" si="103"/>
        <v>0</v>
      </c>
    </row>
    <row r="163" spans="1:21" s="26" customFormat="1">
      <c r="A163" s="24"/>
      <c r="B163" s="24"/>
      <c r="C163" s="24"/>
      <c r="D163" s="24" t="s">
        <v>976</v>
      </c>
      <c r="E163" s="24"/>
      <c r="F163" s="24"/>
      <c r="G163" s="24">
        <v>2018</v>
      </c>
      <c r="H163" s="24">
        <v>12</v>
      </c>
      <c r="I163" s="24">
        <v>0</v>
      </c>
      <c r="J163" s="24" t="s">
        <v>30</v>
      </c>
      <c r="K163" s="24">
        <f>+IF(L162-$O$3&gt;=3,L162-$O$3,3)</f>
        <v>3</v>
      </c>
      <c r="L163" s="29">
        <f t="shared" si="95"/>
        <v>2021</v>
      </c>
      <c r="M163" s="28">
        <f t="shared" si="96"/>
        <v>2022</v>
      </c>
      <c r="N163" s="25">
        <f>'2180 Trucks - Orig.'!N43-'2180 Trucks'!N162</f>
        <v>38941.008000000002</v>
      </c>
      <c r="O163" s="25">
        <f t="shared" si="97"/>
        <v>38941.008000000002</v>
      </c>
      <c r="P163" s="25">
        <f t="shared" si="98"/>
        <v>1081.6946666666668</v>
      </c>
      <c r="Q163" s="25">
        <f t="shared" si="99"/>
        <v>12980.336000000001</v>
      </c>
      <c r="R163" s="25">
        <f t="shared" si="100"/>
        <v>12980.336000000001</v>
      </c>
      <c r="S163" s="25">
        <f t="shared" si="101"/>
        <v>0</v>
      </c>
      <c r="T163" s="25">
        <f t="shared" si="102"/>
        <v>12980.336000000001</v>
      </c>
      <c r="U163" s="25">
        <f t="shared" si="103"/>
        <v>25960.671999999999</v>
      </c>
    </row>
    <row r="164" spans="1:21">
      <c r="A164" t="s">
        <v>1149</v>
      </c>
      <c r="B164" t="s">
        <v>342</v>
      </c>
      <c r="C164">
        <v>3618</v>
      </c>
      <c r="D164" t="s">
        <v>58</v>
      </c>
      <c r="G164">
        <v>2007</v>
      </c>
      <c r="H164">
        <v>9</v>
      </c>
      <c r="I164">
        <v>0</v>
      </c>
      <c r="J164" t="s">
        <v>30</v>
      </c>
      <c r="K164">
        <v>7</v>
      </c>
      <c r="L164">
        <f t="shared" si="95"/>
        <v>2014</v>
      </c>
      <c r="M164" s="27">
        <f t="shared" si="96"/>
        <v>2014.75</v>
      </c>
      <c r="N164" s="5">
        <f>'2180 Trucks - Orig.'!O44</f>
        <v>155764.03200000001</v>
      </c>
      <c r="O164" s="5">
        <f t="shared" si="97"/>
        <v>155764.03200000001</v>
      </c>
      <c r="P164" s="5">
        <f t="shared" si="98"/>
        <v>1854.3337142857144</v>
      </c>
      <c r="Q164" s="5">
        <f t="shared" si="99"/>
        <v>22252.004571428573</v>
      </c>
      <c r="R164" s="5">
        <f t="shared" si="100"/>
        <v>0</v>
      </c>
      <c r="S164" s="5">
        <f t="shared" si="101"/>
        <v>155764.03200000001</v>
      </c>
      <c r="T164" s="5">
        <f t="shared" si="102"/>
        <v>155764.03200000001</v>
      </c>
      <c r="U164" s="5">
        <f t="shared" si="103"/>
        <v>0</v>
      </c>
    </row>
    <row r="165" spans="1:21" s="26" customFormat="1">
      <c r="A165" s="24"/>
      <c r="B165" s="24"/>
      <c r="C165" s="24"/>
      <c r="D165" s="24" t="s">
        <v>976</v>
      </c>
      <c r="E165" s="24"/>
      <c r="F165" s="24"/>
      <c r="G165" s="24">
        <v>2018</v>
      </c>
      <c r="H165" s="24">
        <v>12</v>
      </c>
      <c r="I165" s="24">
        <v>0</v>
      </c>
      <c r="J165" s="24" t="s">
        <v>30</v>
      </c>
      <c r="K165" s="24">
        <f>+IF(L164-$O$3&gt;=3,L164-$O$3,3)</f>
        <v>3</v>
      </c>
      <c r="L165" s="29">
        <f t="shared" si="95"/>
        <v>2021</v>
      </c>
      <c r="M165" s="28">
        <f t="shared" si="96"/>
        <v>2022</v>
      </c>
      <c r="N165" s="25">
        <f>'2180 Trucks - Orig.'!N44-'2180 Trucks'!N164</f>
        <v>38941.008000000002</v>
      </c>
      <c r="O165" s="25">
        <f t="shared" si="97"/>
        <v>38941.008000000002</v>
      </c>
      <c r="P165" s="25">
        <f t="shared" si="98"/>
        <v>1081.6946666666668</v>
      </c>
      <c r="Q165" s="25">
        <f t="shared" si="99"/>
        <v>12980.336000000001</v>
      </c>
      <c r="R165" s="25">
        <f t="shared" si="100"/>
        <v>12980.336000000001</v>
      </c>
      <c r="S165" s="25">
        <f t="shared" si="101"/>
        <v>0</v>
      </c>
      <c r="T165" s="25">
        <f t="shared" si="102"/>
        <v>12980.336000000001</v>
      </c>
      <c r="U165" s="25">
        <f t="shared" si="103"/>
        <v>25960.671999999999</v>
      </c>
    </row>
    <row r="166" spans="1:21">
      <c r="A166" t="s">
        <v>1149</v>
      </c>
      <c r="B166" t="s">
        <v>342</v>
      </c>
      <c r="C166">
        <v>3617</v>
      </c>
      <c r="D166" t="s">
        <v>58</v>
      </c>
      <c r="G166">
        <v>2007</v>
      </c>
      <c r="H166">
        <v>10</v>
      </c>
      <c r="I166">
        <v>0</v>
      </c>
      <c r="J166" t="s">
        <v>30</v>
      </c>
      <c r="K166">
        <v>7</v>
      </c>
      <c r="L166">
        <f t="shared" si="95"/>
        <v>2014</v>
      </c>
      <c r="M166" s="27">
        <f t="shared" si="96"/>
        <v>2014.8333333333333</v>
      </c>
      <c r="N166" s="5">
        <f>'2180 Trucks - Orig.'!O45</f>
        <v>155764.03200000001</v>
      </c>
      <c r="O166" s="5">
        <f t="shared" si="97"/>
        <v>155764.03200000001</v>
      </c>
      <c r="P166" s="5">
        <f t="shared" si="98"/>
        <v>1854.3337142857144</v>
      </c>
      <c r="Q166" s="5">
        <f t="shared" si="99"/>
        <v>22252.004571428573</v>
      </c>
      <c r="R166" s="5">
        <f t="shared" si="100"/>
        <v>0</v>
      </c>
      <c r="S166" s="5">
        <f t="shared" si="101"/>
        <v>155764.03200000001</v>
      </c>
      <c r="T166" s="5">
        <f t="shared" si="102"/>
        <v>155764.03200000001</v>
      </c>
      <c r="U166" s="5">
        <f t="shared" si="103"/>
        <v>0</v>
      </c>
    </row>
    <row r="167" spans="1:21" s="26" customFormat="1">
      <c r="A167" s="24"/>
      <c r="B167" s="24"/>
      <c r="C167" s="24"/>
      <c r="D167" s="24" t="s">
        <v>976</v>
      </c>
      <c r="E167" s="24"/>
      <c r="F167" s="24"/>
      <c r="G167" s="24">
        <v>2018</v>
      </c>
      <c r="H167" s="24">
        <v>12</v>
      </c>
      <c r="I167" s="24">
        <v>0</v>
      </c>
      <c r="J167" s="24" t="s">
        <v>30</v>
      </c>
      <c r="K167" s="24">
        <f>+IF(L166-$O$3&gt;=3,L166-$O$3,3)</f>
        <v>3</v>
      </c>
      <c r="L167" s="29">
        <f t="shared" si="95"/>
        <v>2021</v>
      </c>
      <c r="M167" s="28">
        <f t="shared" si="96"/>
        <v>2022</v>
      </c>
      <c r="N167" s="25">
        <f>'2180 Trucks - Orig.'!N45-'2180 Trucks'!N166</f>
        <v>38941.008000000002</v>
      </c>
      <c r="O167" s="25">
        <f t="shared" si="97"/>
        <v>38941.008000000002</v>
      </c>
      <c r="P167" s="25">
        <f t="shared" si="98"/>
        <v>1081.6946666666668</v>
      </c>
      <c r="Q167" s="25">
        <f t="shared" si="99"/>
        <v>12980.336000000001</v>
      </c>
      <c r="R167" s="25">
        <f t="shared" si="100"/>
        <v>12980.336000000001</v>
      </c>
      <c r="S167" s="25">
        <f t="shared" si="101"/>
        <v>0</v>
      </c>
      <c r="T167" s="25">
        <f t="shared" si="102"/>
        <v>12980.336000000001</v>
      </c>
      <c r="U167" s="25">
        <f t="shared" si="103"/>
        <v>25960.671999999999</v>
      </c>
    </row>
    <row r="168" spans="1:21">
      <c r="A168" t="s">
        <v>1149</v>
      </c>
      <c r="B168" t="s">
        <v>342</v>
      </c>
      <c r="C168">
        <v>3619</v>
      </c>
      <c r="D168" t="s">
        <v>58</v>
      </c>
      <c r="G168">
        <v>2007</v>
      </c>
      <c r="H168">
        <v>10</v>
      </c>
      <c r="I168">
        <v>0</v>
      </c>
      <c r="J168" t="s">
        <v>30</v>
      </c>
      <c r="K168">
        <v>7</v>
      </c>
      <c r="L168">
        <f t="shared" si="95"/>
        <v>2014</v>
      </c>
      <c r="M168" s="27">
        <f t="shared" si="96"/>
        <v>2014.8333333333333</v>
      </c>
      <c r="N168" s="5">
        <f>'2180 Trucks - Orig.'!O46</f>
        <v>155764.03200000001</v>
      </c>
      <c r="O168" s="5">
        <f t="shared" si="97"/>
        <v>155764.03200000001</v>
      </c>
      <c r="P168" s="5">
        <f t="shared" si="98"/>
        <v>1854.3337142857144</v>
      </c>
      <c r="Q168" s="5">
        <f t="shared" si="99"/>
        <v>22252.004571428573</v>
      </c>
      <c r="R168" s="5">
        <f t="shared" si="100"/>
        <v>0</v>
      </c>
      <c r="S168" s="5">
        <f t="shared" si="101"/>
        <v>155764.03200000001</v>
      </c>
      <c r="T168" s="5">
        <f t="shared" si="102"/>
        <v>155764.03200000001</v>
      </c>
      <c r="U168" s="5">
        <f t="shared" si="103"/>
        <v>0</v>
      </c>
    </row>
    <row r="169" spans="1:21" s="26" customFormat="1">
      <c r="A169" s="24"/>
      <c r="B169" s="24"/>
      <c r="C169" s="24"/>
      <c r="D169" s="24" t="s">
        <v>976</v>
      </c>
      <c r="E169" s="24"/>
      <c r="F169" s="24"/>
      <c r="G169" s="24">
        <v>2018</v>
      </c>
      <c r="H169" s="24">
        <v>12</v>
      </c>
      <c r="I169" s="24">
        <v>0</v>
      </c>
      <c r="J169" s="24" t="s">
        <v>30</v>
      </c>
      <c r="K169" s="24">
        <f>+IF(L168-$O$3&gt;=3,L168-$O$3,3)</f>
        <v>3</v>
      </c>
      <c r="L169" s="29">
        <f t="shared" si="95"/>
        <v>2021</v>
      </c>
      <c r="M169" s="28">
        <f t="shared" si="96"/>
        <v>2022</v>
      </c>
      <c r="N169" s="25">
        <f>'2180 Trucks - Orig.'!N46-'2180 Trucks'!N168</f>
        <v>38941.008000000002</v>
      </c>
      <c r="O169" s="25">
        <f t="shared" si="97"/>
        <v>38941.008000000002</v>
      </c>
      <c r="P169" s="25">
        <f t="shared" si="98"/>
        <v>1081.6946666666668</v>
      </c>
      <c r="Q169" s="25">
        <f t="shared" si="99"/>
        <v>12980.336000000001</v>
      </c>
      <c r="R169" s="25">
        <f t="shared" si="100"/>
        <v>12980.336000000001</v>
      </c>
      <c r="S169" s="25">
        <f t="shared" si="101"/>
        <v>0</v>
      </c>
      <c r="T169" s="25">
        <f t="shared" si="102"/>
        <v>12980.336000000001</v>
      </c>
      <c r="U169" s="25">
        <f t="shared" si="103"/>
        <v>25960.671999999999</v>
      </c>
    </row>
    <row r="170" spans="1:21">
      <c r="A170" t="s">
        <v>1149</v>
      </c>
      <c r="B170" t="s">
        <v>342</v>
      </c>
      <c r="C170">
        <v>3620</v>
      </c>
      <c r="D170" t="s">
        <v>58</v>
      </c>
      <c r="G170">
        <v>2007</v>
      </c>
      <c r="H170">
        <v>10</v>
      </c>
      <c r="I170">
        <v>0</v>
      </c>
      <c r="J170" t="s">
        <v>30</v>
      </c>
      <c r="K170">
        <v>7</v>
      </c>
      <c r="L170">
        <f t="shared" si="95"/>
        <v>2014</v>
      </c>
      <c r="M170" s="27">
        <f t="shared" si="96"/>
        <v>2014.8333333333333</v>
      </c>
      <c r="N170" s="5">
        <f>'2180 Trucks - Orig.'!O47</f>
        <v>155764.03200000001</v>
      </c>
      <c r="O170" s="5">
        <f t="shared" si="97"/>
        <v>155764.03200000001</v>
      </c>
      <c r="P170" s="5">
        <f t="shared" si="98"/>
        <v>1854.3337142857144</v>
      </c>
      <c r="Q170" s="5">
        <f t="shared" si="99"/>
        <v>22252.004571428573</v>
      </c>
      <c r="R170" s="5">
        <f t="shared" si="100"/>
        <v>0</v>
      </c>
      <c r="S170" s="5">
        <f t="shared" si="101"/>
        <v>155764.03200000001</v>
      </c>
      <c r="T170" s="5">
        <f t="shared" si="102"/>
        <v>155764.03200000001</v>
      </c>
      <c r="U170" s="5">
        <f t="shared" si="103"/>
        <v>0</v>
      </c>
    </row>
    <row r="171" spans="1:21" s="26" customFormat="1">
      <c r="A171" s="24"/>
      <c r="B171" s="24"/>
      <c r="C171" s="24"/>
      <c r="D171" s="24" t="s">
        <v>976</v>
      </c>
      <c r="E171" s="24"/>
      <c r="F171" s="24"/>
      <c r="G171" s="24">
        <v>2018</v>
      </c>
      <c r="H171" s="24">
        <v>12</v>
      </c>
      <c r="I171" s="24">
        <v>0</v>
      </c>
      <c r="J171" s="24" t="s">
        <v>30</v>
      </c>
      <c r="K171" s="24">
        <f>+IF(L170-$O$3&gt;=3,L170-$O$3,3)</f>
        <v>3</v>
      </c>
      <c r="L171" s="29">
        <f t="shared" si="95"/>
        <v>2021</v>
      </c>
      <c r="M171" s="28">
        <f t="shared" si="96"/>
        <v>2022</v>
      </c>
      <c r="N171" s="25">
        <f>'2180 Trucks - Orig.'!N47-'2180 Trucks'!N170</f>
        <v>38941.008000000002</v>
      </c>
      <c r="O171" s="25">
        <f t="shared" si="97"/>
        <v>38941.008000000002</v>
      </c>
      <c r="P171" s="25">
        <f t="shared" si="98"/>
        <v>1081.6946666666668</v>
      </c>
      <c r="Q171" s="25">
        <f t="shared" si="99"/>
        <v>12980.336000000001</v>
      </c>
      <c r="R171" s="25">
        <f t="shared" si="100"/>
        <v>12980.336000000001</v>
      </c>
      <c r="S171" s="25">
        <f t="shared" si="101"/>
        <v>0</v>
      </c>
      <c r="T171" s="25">
        <f t="shared" si="102"/>
        <v>12980.336000000001</v>
      </c>
      <c r="U171" s="25">
        <f t="shared" si="103"/>
        <v>25960.671999999999</v>
      </c>
    </row>
    <row r="172" spans="1:21">
      <c r="A172" t="s">
        <v>1149</v>
      </c>
      <c r="B172" t="s">
        <v>342</v>
      </c>
      <c r="C172">
        <v>3624</v>
      </c>
      <c r="D172" t="s">
        <v>91</v>
      </c>
      <c r="G172">
        <v>2008</v>
      </c>
      <c r="H172">
        <v>11</v>
      </c>
      <c r="I172">
        <v>0</v>
      </c>
      <c r="J172" t="s">
        <v>30</v>
      </c>
      <c r="K172">
        <v>7</v>
      </c>
      <c r="L172">
        <f t="shared" si="95"/>
        <v>2015</v>
      </c>
      <c r="M172" s="27">
        <f t="shared" si="96"/>
        <v>2015.9166666666667</v>
      </c>
      <c r="N172" s="5">
        <f>'2180 Trucks - Orig.'!O48</f>
        <v>177767.96000000002</v>
      </c>
      <c r="O172" s="5">
        <f t="shared" si="97"/>
        <v>177767.96000000002</v>
      </c>
      <c r="P172" s="5">
        <f t="shared" si="98"/>
        <v>2116.2852380952386</v>
      </c>
      <c r="Q172" s="5">
        <f t="shared" si="99"/>
        <v>25395.422857142861</v>
      </c>
      <c r="R172" s="5">
        <f t="shared" si="100"/>
        <v>0</v>
      </c>
      <c r="S172" s="5">
        <f t="shared" si="101"/>
        <v>177767.96000000002</v>
      </c>
      <c r="T172" s="5">
        <f t="shared" si="102"/>
        <v>177767.96000000002</v>
      </c>
      <c r="U172" s="5">
        <f t="shared" si="103"/>
        <v>0</v>
      </c>
    </row>
    <row r="173" spans="1:21" s="26" customFormat="1">
      <c r="A173" s="24"/>
      <c r="B173" s="24"/>
      <c r="C173" s="24"/>
      <c r="D173" s="24" t="s">
        <v>977</v>
      </c>
      <c r="E173" s="24"/>
      <c r="F173" s="24"/>
      <c r="G173" s="24">
        <v>2018</v>
      </c>
      <c r="H173" s="24">
        <v>12</v>
      </c>
      <c r="I173" s="24">
        <v>0</v>
      </c>
      <c r="J173" s="24" t="s">
        <v>30</v>
      </c>
      <c r="K173" s="24">
        <f>+IF(L172-$O$3&gt;=3,L172-$O$3,3)</f>
        <v>3</v>
      </c>
      <c r="L173" s="29">
        <f t="shared" si="95"/>
        <v>2021</v>
      </c>
      <c r="M173" s="28">
        <f t="shared" si="96"/>
        <v>2022</v>
      </c>
      <c r="N173" s="25">
        <f>'2180 Trucks - Orig.'!N48-'2180 Trucks'!N172</f>
        <v>44441.989999999991</v>
      </c>
      <c r="O173" s="25">
        <f t="shared" si="97"/>
        <v>44441.989999999991</v>
      </c>
      <c r="P173" s="25">
        <f t="shared" si="98"/>
        <v>1234.4997222222221</v>
      </c>
      <c r="Q173" s="25">
        <f t="shared" si="99"/>
        <v>14813.996666666666</v>
      </c>
      <c r="R173" s="25">
        <f t="shared" si="100"/>
        <v>14813.996666666666</v>
      </c>
      <c r="S173" s="25">
        <f t="shared" si="101"/>
        <v>0</v>
      </c>
      <c r="T173" s="25">
        <f t="shared" si="102"/>
        <v>14813.996666666666</v>
      </c>
      <c r="U173" s="25">
        <f t="shared" si="103"/>
        <v>29627.993333333325</v>
      </c>
    </row>
    <row r="174" spans="1:21">
      <c r="A174" t="s">
        <v>1149</v>
      </c>
      <c r="B174" t="s">
        <v>342</v>
      </c>
      <c r="C174">
        <v>3626</v>
      </c>
      <c r="D174" t="s">
        <v>257</v>
      </c>
      <c r="G174">
        <v>2008</v>
      </c>
      <c r="H174">
        <v>12</v>
      </c>
      <c r="I174">
        <v>0</v>
      </c>
      <c r="J174" t="s">
        <v>30</v>
      </c>
      <c r="K174">
        <v>7</v>
      </c>
      <c r="L174">
        <f t="shared" si="95"/>
        <v>2015</v>
      </c>
      <c r="M174" s="27">
        <f t="shared" si="96"/>
        <v>2016</v>
      </c>
      <c r="N174" s="5">
        <f>'2180 Trucks - Orig.'!O49</f>
        <v>80455.752000000008</v>
      </c>
      <c r="O174" s="5">
        <f t="shared" si="97"/>
        <v>80455.752000000008</v>
      </c>
      <c r="P174" s="5">
        <f t="shared" si="98"/>
        <v>957.8065714285716</v>
      </c>
      <c r="Q174" s="5">
        <f t="shared" si="99"/>
        <v>11493.678857142859</v>
      </c>
      <c r="R174" s="5">
        <f t="shared" si="100"/>
        <v>0</v>
      </c>
      <c r="S174" s="5">
        <f t="shared" si="101"/>
        <v>80455.752000000008</v>
      </c>
      <c r="T174" s="5">
        <f t="shared" si="102"/>
        <v>80455.752000000008</v>
      </c>
      <c r="U174" s="5">
        <f t="shared" si="103"/>
        <v>0</v>
      </c>
    </row>
    <row r="175" spans="1:21" s="26" customFormat="1">
      <c r="A175" s="24"/>
      <c r="B175" s="24"/>
      <c r="C175" s="24"/>
      <c r="D175" s="24" t="s">
        <v>978</v>
      </c>
      <c r="E175" s="24"/>
      <c r="F175" s="24"/>
      <c r="G175" s="24">
        <v>2018</v>
      </c>
      <c r="H175" s="24">
        <v>12</v>
      </c>
      <c r="I175" s="24">
        <v>0</v>
      </c>
      <c r="J175" s="24" t="s">
        <v>30</v>
      </c>
      <c r="K175" s="24">
        <f>+IF(L174-$O$3&gt;=3,L174-$O$3,3)</f>
        <v>3</v>
      </c>
      <c r="L175" s="29">
        <f t="shared" si="95"/>
        <v>2021</v>
      </c>
      <c r="M175" s="28">
        <f t="shared" si="96"/>
        <v>2022</v>
      </c>
      <c r="N175" s="25">
        <f>'2180 Trucks - Orig.'!N49-'2180 Trucks'!N174</f>
        <v>20113.937999999995</v>
      </c>
      <c r="O175" s="25">
        <f t="shared" si="97"/>
        <v>20113.937999999995</v>
      </c>
      <c r="P175" s="25">
        <f t="shared" si="98"/>
        <v>558.72049999999979</v>
      </c>
      <c r="Q175" s="25">
        <f t="shared" si="99"/>
        <v>6704.645999999997</v>
      </c>
      <c r="R175" s="25">
        <f t="shared" si="100"/>
        <v>6704.645999999997</v>
      </c>
      <c r="S175" s="25">
        <f t="shared" si="101"/>
        <v>0</v>
      </c>
      <c r="T175" s="25">
        <f t="shared" si="102"/>
        <v>6704.645999999997</v>
      </c>
      <c r="U175" s="25">
        <f t="shared" si="103"/>
        <v>13409.291999999998</v>
      </c>
    </row>
    <row r="176" spans="1:21">
      <c r="A176" t="s">
        <v>36</v>
      </c>
      <c r="D176" t="s">
        <v>442</v>
      </c>
      <c r="E176" t="s">
        <v>443</v>
      </c>
      <c r="F176" t="s">
        <v>372</v>
      </c>
      <c r="G176">
        <v>2009</v>
      </c>
      <c r="H176">
        <v>7</v>
      </c>
      <c r="I176">
        <v>0</v>
      </c>
      <c r="J176" t="s">
        <v>30</v>
      </c>
      <c r="K176">
        <v>5</v>
      </c>
      <c r="L176">
        <f t="shared" si="95"/>
        <v>2014</v>
      </c>
      <c r="M176" s="27">
        <f t="shared" si="96"/>
        <v>2014.5833333333333</v>
      </c>
      <c r="N176" s="5">
        <f>(6722.48+38653.29+641.31+1194.22+14225.95)*12/61</f>
        <v>12086.016393442624</v>
      </c>
      <c r="O176" s="5">
        <f t="shared" si="97"/>
        <v>12086.016393442624</v>
      </c>
      <c r="P176" s="5">
        <f t="shared" si="98"/>
        <v>201.43360655737706</v>
      </c>
      <c r="Q176" s="5">
        <f t="shared" si="99"/>
        <v>2417.2032786885247</v>
      </c>
      <c r="R176" s="5">
        <f t="shared" si="100"/>
        <v>0</v>
      </c>
      <c r="S176" s="5">
        <f t="shared" si="101"/>
        <v>12086.016393442624</v>
      </c>
      <c r="T176" s="5">
        <f t="shared" si="102"/>
        <v>12086.016393442624</v>
      </c>
      <c r="U176" s="5">
        <f t="shared" si="103"/>
        <v>0</v>
      </c>
    </row>
    <row r="177" spans="1:21">
      <c r="D177" t="s">
        <v>448</v>
      </c>
      <c r="E177" t="s">
        <v>447</v>
      </c>
      <c r="G177">
        <v>2009</v>
      </c>
      <c r="H177">
        <v>7</v>
      </c>
      <c r="I177">
        <v>0</v>
      </c>
      <c r="J177" t="s">
        <v>30</v>
      </c>
      <c r="K177">
        <v>5</v>
      </c>
      <c r="L177">
        <f t="shared" si="95"/>
        <v>2014</v>
      </c>
      <c r="M177" s="27">
        <f t="shared" si="96"/>
        <v>2014.5833333333333</v>
      </c>
      <c r="N177" s="5">
        <f>(34912.65+1078.65+10913.06)*11/46</f>
        <v>11216.26</v>
      </c>
      <c r="O177" s="5">
        <f t="shared" si="97"/>
        <v>11216.26</v>
      </c>
      <c r="P177" s="5">
        <f t="shared" si="98"/>
        <v>186.93766666666667</v>
      </c>
      <c r="Q177" s="5">
        <f t="shared" si="99"/>
        <v>2243.252</v>
      </c>
      <c r="R177" s="5">
        <f t="shared" si="100"/>
        <v>0</v>
      </c>
      <c r="S177" s="5">
        <f t="shared" si="101"/>
        <v>11216.26</v>
      </c>
      <c r="T177" s="5">
        <f t="shared" si="102"/>
        <v>11216.26</v>
      </c>
      <c r="U177" s="5">
        <f t="shared" si="103"/>
        <v>0</v>
      </c>
    </row>
    <row r="178" spans="1:21">
      <c r="A178" t="s">
        <v>36</v>
      </c>
      <c r="D178" t="s">
        <v>377</v>
      </c>
      <c r="E178">
        <v>75160</v>
      </c>
      <c r="F178" t="s">
        <v>372</v>
      </c>
      <c r="G178">
        <v>2010</v>
      </c>
      <c r="H178">
        <v>6</v>
      </c>
      <c r="I178">
        <v>0</v>
      </c>
      <c r="J178" t="s">
        <v>30</v>
      </c>
      <c r="K178">
        <v>5</v>
      </c>
      <c r="L178">
        <f t="shared" si="95"/>
        <v>2015</v>
      </c>
      <c r="M178" s="27">
        <f t="shared" si="96"/>
        <v>2015.5</v>
      </c>
      <c r="N178" s="5">
        <f>16772.32*12/61</f>
        <v>3299.472786885246</v>
      </c>
      <c r="O178" s="5">
        <f t="shared" si="97"/>
        <v>3299.472786885246</v>
      </c>
      <c r="P178" s="5">
        <f t="shared" si="98"/>
        <v>54.991213114754096</v>
      </c>
      <c r="Q178" s="5">
        <f t="shared" si="99"/>
        <v>659.89455737704918</v>
      </c>
      <c r="R178" s="5">
        <f t="shared" si="100"/>
        <v>0</v>
      </c>
      <c r="S178" s="5">
        <f t="shared" si="101"/>
        <v>3299.472786885246</v>
      </c>
      <c r="T178" s="5">
        <f t="shared" si="102"/>
        <v>3299.472786885246</v>
      </c>
      <c r="U178" s="5">
        <f t="shared" si="103"/>
        <v>0</v>
      </c>
    </row>
    <row r="179" spans="1:21">
      <c r="A179" t="s">
        <v>1149</v>
      </c>
      <c r="B179" t="s">
        <v>342</v>
      </c>
      <c r="C179">
        <v>3630</v>
      </c>
      <c r="D179" t="s">
        <v>393</v>
      </c>
      <c r="E179" t="s">
        <v>394</v>
      </c>
      <c r="G179">
        <v>2010</v>
      </c>
      <c r="H179">
        <v>8</v>
      </c>
      <c r="I179">
        <v>0</v>
      </c>
      <c r="J179" t="s">
        <v>30</v>
      </c>
      <c r="K179">
        <v>7</v>
      </c>
      <c r="L179">
        <f t="shared" si="95"/>
        <v>2017</v>
      </c>
      <c r="M179" s="27">
        <f t="shared" si="96"/>
        <v>2017.6666666666667</v>
      </c>
      <c r="N179" s="5">
        <f>'2180 Trucks - Orig.'!O55</f>
        <v>223846.47999999998</v>
      </c>
      <c r="O179" s="5">
        <f t="shared" si="97"/>
        <v>223846.47999999998</v>
      </c>
      <c r="P179" s="5">
        <f t="shared" si="98"/>
        <v>2664.8390476190475</v>
      </c>
      <c r="Q179" s="5">
        <f t="shared" si="99"/>
        <v>31978.068571428572</v>
      </c>
      <c r="R179" s="5">
        <f t="shared" si="100"/>
        <v>0</v>
      </c>
      <c r="S179" s="5">
        <f t="shared" si="101"/>
        <v>223846.47999999998</v>
      </c>
      <c r="T179" s="5">
        <f t="shared" si="102"/>
        <v>223846.47999999998</v>
      </c>
      <c r="U179" s="5">
        <f t="shared" si="103"/>
        <v>0</v>
      </c>
    </row>
    <row r="180" spans="1:21" s="26" customFormat="1">
      <c r="A180" s="24"/>
      <c r="B180" s="24"/>
      <c r="C180" s="24"/>
      <c r="D180" s="24" t="s">
        <v>979</v>
      </c>
      <c r="E180" s="24"/>
      <c r="F180" s="24"/>
      <c r="G180" s="24">
        <v>2018</v>
      </c>
      <c r="H180" s="24">
        <v>12</v>
      </c>
      <c r="I180" s="24">
        <v>0</v>
      </c>
      <c r="J180" s="24" t="s">
        <v>30</v>
      </c>
      <c r="K180" s="24">
        <f>+IF(L179-$O$3&gt;=3,L179-$O$3,3)</f>
        <v>3</v>
      </c>
      <c r="L180" s="29">
        <f t="shared" si="95"/>
        <v>2021</v>
      </c>
      <c r="M180" s="28">
        <f t="shared" si="96"/>
        <v>2022</v>
      </c>
      <c r="N180" s="25">
        <f>'2180 Trucks - Orig.'!N55-'2180 Trucks'!N179</f>
        <v>55961.619999999995</v>
      </c>
      <c r="O180" s="25">
        <f t="shared" si="97"/>
        <v>55961.619999999995</v>
      </c>
      <c r="P180" s="25">
        <f t="shared" si="98"/>
        <v>1554.4894444444444</v>
      </c>
      <c r="Q180" s="25">
        <f t="shared" si="99"/>
        <v>18653.873333333333</v>
      </c>
      <c r="R180" s="25">
        <f t="shared" si="100"/>
        <v>18653.873333333333</v>
      </c>
      <c r="S180" s="25">
        <f t="shared" si="101"/>
        <v>0</v>
      </c>
      <c r="T180" s="25">
        <f t="shared" si="102"/>
        <v>18653.873333333333</v>
      </c>
      <c r="U180" s="25">
        <f t="shared" si="103"/>
        <v>37307.746666666659</v>
      </c>
    </row>
    <row r="181" spans="1:21">
      <c r="A181" t="s">
        <v>1149</v>
      </c>
      <c r="B181" t="s">
        <v>342</v>
      </c>
      <c r="C181">
        <v>3631</v>
      </c>
      <c r="D181" t="s">
        <v>598</v>
      </c>
      <c r="E181" t="s">
        <v>599</v>
      </c>
      <c r="G181">
        <v>2011</v>
      </c>
      <c r="H181">
        <v>8</v>
      </c>
      <c r="I181">
        <v>0</v>
      </c>
      <c r="J181" t="s">
        <v>30</v>
      </c>
      <c r="K181">
        <v>7</v>
      </c>
      <c r="L181">
        <f t="shared" si="95"/>
        <v>2018</v>
      </c>
      <c r="M181" s="27">
        <f t="shared" si="96"/>
        <v>2018.6666666666667</v>
      </c>
      <c r="N181" s="5">
        <f>'2180 Trucks - Orig.'!O58</f>
        <v>237511.64799999999</v>
      </c>
      <c r="O181" s="5">
        <f t="shared" si="97"/>
        <v>237511.64799999999</v>
      </c>
      <c r="P181" s="5">
        <f t="shared" si="98"/>
        <v>2827.5196190476186</v>
      </c>
      <c r="Q181" s="5">
        <f t="shared" si="99"/>
        <v>33930.235428571425</v>
      </c>
      <c r="R181" s="5">
        <f t="shared" si="100"/>
        <v>0</v>
      </c>
      <c r="S181" s="5">
        <f t="shared" si="101"/>
        <v>237511.64799999999</v>
      </c>
      <c r="T181" s="5">
        <f t="shared" si="102"/>
        <v>237511.64799999999</v>
      </c>
      <c r="U181" s="5">
        <f t="shared" si="103"/>
        <v>0</v>
      </c>
    </row>
    <row r="182" spans="1:21" s="26" customFormat="1">
      <c r="A182" s="24"/>
      <c r="B182" s="24"/>
      <c r="C182" s="24"/>
      <c r="D182" s="24" t="s">
        <v>981</v>
      </c>
      <c r="E182" s="24"/>
      <c r="F182" s="24"/>
      <c r="G182" s="24">
        <v>2018</v>
      </c>
      <c r="H182" s="24">
        <v>12</v>
      </c>
      <c r="I182" s="24">
        <v>0</v>
      </c>
      <c r="J182" s="24" t="s">
        <v>30</v>
      </c>
      <c r="K182" s="24">
        <f>+IF(L181-$O$3&gt;=3,L181-$O$3,3)</f>
        <v>3</v>
      </c>
      <c r="L182" s="29">
        <f t="shared" si="95"/>
        <v>2021</v>
      </c>
      <c r="M182" s="28">
        <f t="shared" si="96"/>
        <v>2022</v>
      </c>
      <c r="N182" s="25">
        <f>'2180 Trucks - Orig.'!N58-'2180 Trucks'!N181</f>
        <v>59377.912000000011</v>
      </c>
      <c r="O182" s="25">
        <f t="shared" si="97"/>
        <v>59377.912000000011</v>
      </c>
      <c r="P182" s="25">
        <f t="shared" si="98"/>
        <v>1649.3864444444446</v>
      </c>
      <c r="Q182" s="25">
        <f t="shared" si="99"/>
        <v>19792.637333333336</v>
      </c>
      <c r="R182" s="25">
        <f t="shared" si="100"/>
        <v>19792.637333333336</v>
      </c>
      <c r="S182" s="25">
        <f t="shared" si="101"/>
        <v>0</v>
      </c>
      <c r="T182" s="25">
        <f t="shared" si="102"/>
        <v>19792.637333333336</v>
      </c>
      <c r="U182" s="25">
        <f t="shared" si="103"/>
        <v>39585.274666666679</v>
      </c>
    </row>
    <row r="183" spans="1:21">
      <c r="A183" t="s">
        <v>1149</v>
      </c>
      <c r="C183">
        <v>3631</v>
      </c>
      <c r="D183" t="s">
        <v>600</v>
      </c>
      <c r="E183">
        <v>85654</v>
      </c>
      <c r="G183">
        <v>2011</v>
      </c>
      <c r="H183">
        <v>8</v>
      </c>
      <c r="I183">
        <v>0</v>
      </c>
      <c r="J183" t="s">
        <v>30</v>
      </c>
      <c r="K183">
        <v>5</v>
      </c>
      <c r="L183">
        <f t="shared" si="95"/>
        <v>2016</v>
      </c>
      <c r="M183" s="27">
        <f t="shared" si="96"/>
        <v>2016.6666666666667</v>
      </c>
      <c r="N183" s="5">
        <v>7261.89</v>
      </c>
      <c r="O183" s="5">
        <f t="shared" si="97"/>
        <v>7261.89</v>
      </c>
      <c r="P183" s="5">
        <f t="shared" si="98"/>
        <v>121.03150000000001</v>
      </c>
      <c r="Q183" s="5">
        <f t="shared" si="99"/>
        <v>1452.3780000000002</v>
      </c>
      <c r="R183" s="5">
        <f t="shared" si="100"/>
        <v>0</v>
      </c>
      <c r="S183" s="5">
        <f t="shared" si="101"/>
        <v>7261.89</v>
      </c>
      <c r="T183" s="5">
        <f t="shared" si="102"/>
        <v>7261.89</v>
      </c>
      <c r="U183" s="5">
        <f t="shared" si="103"/>
        <v>0</v>
      </c>
    </row>
    <row r="184" spans="1:21">
      <c r="B184" t="s">
        <v>617</v>
      </c>
      <c r="C184">
        <v>3305</v>
      </c>
      <c r="D184" t="s">
        <v>618</v>
      </c>
      <c r="E184" t="s">
        <v>619</v>
      </c>
      <c r="G184">
        <v>2011</v>
      </c>
      <c r="H184">
        <v>11</v>
      </c>
      <c r="I184">
        <v>0</v>
      </c>
      <c r="J184" t="s">
        <v>30</v>
      </c>
      <c r="K184">
        <v>7</v>
      </c>
      <c r="L184">
        <f t="shared" si="95"/>
        <v>2018</v>
      </c>
      <c r="M184" s="27">
        <f t="shared" si="96"/>
        <v>2018.9166666666667</v>
      </c>
      <c r="N184" s="5">
        <f>117533.59+6989.73</f>
        <v>124523.31999999999</v>
      </c>
      <c r="O184" s="5">
        <f t="shared" si="97"/>
        <v>124523.31999999999</v>
      </c>
      <c r="P184" s="5">
        <f t="shared" si="98"/>
        <v>1482.4204761904759</v>
      </c>
      <c r="Q184" s="5">
        <f t="shared" si="99"/>
        <v>17789.045714285712</v>
      </c>
      <c r="R184" s="5">
        <f t="shared" si="100"/>
        <v>0</v>
      </c>
      <c r="S184" s="5">
        <f t="shared" si="101"/>
        <v>124523.31999999999</v>
      </c>
      <c r="T184" s="5">
        <f t="shared" si="102"/>
        <v>124523.31999999999</v>
      </c>
      <c r="U184" s="5">
        <f t="shared" si="103"/>
        <v>0</v>
      </c>
    </row>
    <row r="185" spans="1:21">
      <c r="A185" t="s">
        <v>1149</v>
      </c>
      <c r="B185" t="s">
        <v>342</v>
      </c>
      <c r="C185">
        <v>3634</v>
      </c>
      <c r="D185" t="s">
        <v>642</v>
      </c>
      <c r="E185" t="s">
        <v>643</v>
      </c>
      <c r="G185">
        <v>2012</v>
      </c>
      <c r="H185">
        <v>9</v>
      </c>
      <c r="I185">
        <v>0</v>
      </c>
      <c r="J185" t="s">
        <v>30</v>
      </c>
      <c r="K185">
        <v>7</v>
      </c>
      <c r="L185">
        <f t="shared" si="95"/>
        <v>2019</v>
      </c>
      <c r="M185" s="27">
        <f t="shared" si="96"/>
        <v>2019.75</v>
      </c>
      <c r="N185" s="5">
        <f>314012-63</f>
        <v>313949</v>
      </c>
      <c r="O185" s="5">
        <f t="shared" si="97"/>
        <v>313949</v>
      </c>
      <c r="P185" s="5">
        <f t="shared" si="98"/>
        <v>3737.4880952380954</v>
      </c>
      <c r="Q185" s="5">
        <f t="shared" si="99"/>
        <v>44849.857142857145</v>
      </c>
      <c r="R185" s="5">
        <f t="shared" si="100"/>
        <v>33637.392857142855</v>
      </c>
      <c r="S185" s="5">
        <f t="shared" si="101"/>
        <v>269099.14285714284</v>
      </c>
      <c r="T185" s="5">
        <f t="shared" si="102"/>
        <v>302736.53571428568</v>
      </c>
      <c r="U185" s="5">
        <f t="shared" si="103"/>
        <v>11212.464285714319</v>
      </c>
    </row>
    <row r="186" spans="1:21">
      <c r="C186">
        <v>3634</v>
      </c>
      <c r="D186" t="s">
        <v>644</v>
      </c>
      <c r="E186">
        <v>98468</v>
      </c>
      <c r="G186">
        <v>2012</v>
      </c>
      <c r="H186">
        <v>9</v>
      </c>
      <c r="I186">
        <v>0</v>
      </c>
      <c r="J186" t="s">
        <v>30</v>
      </c>
      <c r="K186">
        <v>10</v>
      </c>
      <c r="L186">
        <f t="shared" si="95"/>
        <v>2022</v>
      </c>
      <c r="M186" s="27">
        <f t="shared" si="96"/>
        <v>2022.75</v>
      </c>
      <c r="N186" s="5">
        <v>593</v>
      </c>
      <c r="O186" s="5">
        <f t="shared" si="97"/>
        <v>593</v>
      </c>
      <c r="P186" s="5">
        <f t="shared" si="98"/>
        <v>4.9416666666666664</v>
      </c>
      <c r="Q186" s="5">
        <f t="shared" si="99"/>
        <v>59.3</v>
      </c>
      <c r="R186" s="5">
        <f t="shared" si="100"/>
        <v>59.3</v>
      </c>
      <c r="S186" s="5">
        <f t="shared" si="101"/>
        <v>355.79999999999995</v>
      </c>
      <c r="T186" s="5">
        <f t="shared" si="102"/>
        <v>415.09999999999997</v>
      </c>
      <c r="U186" s="5">
        <f t="shared" si="103"/>
        <v>177.90000000000003</v>
      </c>
    </row>
    <row r="187" spans="1:21">
      <c r="A187" t="s">
        <v>1149</v>
      </c>
      <c r="B187" t="s">
        <v>342</v>
      </c>
      <c r="C187">
        <v>3638</v>
      </c>
      <c r="D187" t="s">
        <v>723</v>
      </c>
      <c r="E187">
        <v>115278</v>
      </c>
      <c r="G187">
        <v>2014</v>
      </c>
      <c r="H187">
        <v>8</v>
      </c>
      <c r="I187">
        <v>0</v>
      </c>
      <c r="J187" t="s">
        <v>30</v>
      </c>
      <c r="K187">
        <v>10</v>
      </c>
      <c r="L187">
        <f>G187+K187</f>
        <v>2024</v>
      </c>
      <c r="M187" s="27">
        <f>+L187+(H187/12)</f>
        <v>2024.6666666666667</v>
      </c>
      <c r="N187" s="5">
        <f>317973.28+913.92</f>
        <v>318887.2</v>
      </c>
      <c r="O187" s="5">
        <f>N187-N187*I187</f>
        <v>318887.2</v>
      </c>
      <c r="P187" s="5">
        <f>O187/K187/12</f>
        <v>2657.3933333333334</v>
      </c>
      <c r="Q187" s="5">
        <f>P187*12</f>
        <v>31888.720000000001</v>
      </c>
      <c r="R187" s="5">
        <f>+IF(M187&lt;=$O$5,0,IF(L187&gt;$O$4,Q187,(P187*H187)))</f>
        <v>31888.720000000001</v>
      </c>
      <c r="S187" s="5">
        <f>+IF(R187=0,N187,IF($O$3-G187&lt;1,0,(($O$3-G187)*Q187)))</f>
        <v>127554.88</v>
      </c>
      <c r="T187" s="5">
        <f>+IF(R187=0,S187,S187+R187)</f>
        <v>159443.6</v>
      </c>
      <c r="U187" s="5">
        <f>+N187-T187</f>
        <v>159443.6</v>
      </c>
    </row>
    <row r="188" spans="1:21">
      <c r="B188" t="s">
        <v>342</v>
      </c>
      <c r="C188">
        <v>3610</v>
      </c>
      <c r="D188" t="s">
        <v>669</v>
      </c>
      <c r="E188">
        <v>105110</v>
      </c>
      <c r="F188">
        <v>60784</v>
      </c>
      <c r="G188">
        <v>2013</v>
      </c>
      <c r="H188">
        <v>6</v>
      </c>
      <c r="I188">
        <v>0</v>
      </c>
      <c r="J188" t="s">
        <v>30</v>
      </c>
      <c r="K188">
        <v>3</v>
      </c>
      <c r="L188">
        <f t="shared" si="95"/>
        <v>2016</v>
      </c>
      <c r="M188" s="27">
        <f t="shared" si="96"/>
        <v>2016.5</v>
      </c>
      <c r="N188" s="5">
        <v>19105.150000000001</v>
      </c>
      <c r="O188" s="5">
        <f t="shared" si="97"/>
        <v>19105.150000000001</v>
      </c>
      <c r="P188" s="5">
        <f t="shared" si="98"/>
        <v>530.69861111111118</v>
      </c>
      <c r="Q188" s="5">
        <f t="shared" si="99"/>
        <v>6368.3833333333341</v>
      </c>
      <c r="R188" s="5">
        <f t="shared" si="100"/>
        <v>0</v>
      </c>
      <c r="S188" s="5">
        <f t="shared" si="101"/>
        <v>19105.150000000001</v>
      </c>
      <c r="T188" s="5">
        <f t="shared" si="102"/>
        <v>19105.150000000001</v>
      </c>
      <c r="U188" s="5">
        <f t="shared" si="103"/>
        <v>0</v>
      </c>
    </row>
    <row r="189" spans="1:21">
      <c r="B189" t="s">
        <v>342</v>
      </c>
      <c r="C189">
        <v>3635</v>
      </c>
      <c r="D189" t="s">
        <v>690</v>
      </c>
      <c r="E189" t="s">
        <v>691</v>
      </c>
      <c r="G189">
        <v>2013</v>
      </c>
      <c r="H189">
        <v>10</v>
      </c>
      <c r="I189">
        <v>0</v>
      </c>
      <c r="J189" t="s">
        <v>30</v>
      </c>
      <c r="K189">
        <v>7</v>
      </c>
      <c r="L189">
        <f t="shared" si="95"/>
        <v>2020</v>
      </c>
      <c r="M189" s="27">
        <f t="shared" si="96"/>
        <v>2020.8333333333333</v>
      </c>
      <c r="N189" s="5">
        <f>319248.73+902.53</f>
        <v>320151.26</v>
      </c>
      <c r="O189" s="5">
        <f t="shared" si="97"/>
        <v>320151.26</v>
      </c>
      <c r="P189" s="5">
        <f t="shared" si="98"/>
        <v>3811.3245238095242</v>
      </c>
      <c r="Q189" s="5">
        <f t="shared" si="99"/>
        <v>45735.89428571429</v>
      </c>
      <c r="R189" s="5">
        <f t="shared" si="100"/>
        <v>45735.89428571429</v>
      </c>
      <c r="S189" s="5">
        <f t="shared" si="101"/>
        <v>228679.47142857144</v>
      </c>
      <c r="T189" s="5">
        <f t="shared" si="102"/>
        <v>274415.36571428576</v>
      </c>
      <c r="U189" s="5">
        <f t="shared" si="103"/>
        <v>45735.894285714254</v>
      </c>
    </row>
    <row r="190" spans="1:21">
      <c r="C190">
        <v>3309</v>
      </c>
      <c r="D190" t="s">
        <v>739</v>
      </c>
      <c r="E190">
        <v>115086</v>
      </c>
      <c r="G190">
        <v>2014</v>
      </c>
      <c r="H190">
        <v>7</v>
      </c>
      <c r="I190">
        <v>0</v>
      </c>
      <c r="J190" t="s">
        <v>30</v>
      </c>
      <c r="K190">
        <v>6</v>
      </c>
      <c r="L190">
        <f t="shared" si="95"/>
        <v>2020</v>
      </c>
      <c r="M190" s="27">
        <f t="shared" si="96"/>
        <v>2020.5833333333333</v>
      </c>
      <c r="N190" s="5">
        <v>133477.48000000001</v>
      </c>
      <c r="O190" s="5">
        <f t="shared" si="97"/>
        <v>133477.48000000001</v>
      </c>
      <c r="P190" s="5">
        <f t="shared" si="98"/>
        <v>1853.8538888888891</v>
      </c>
      <c r="Q190" s="5">
        <f t="shared" si="99"/>
        <v>22246.24666666667</v>
      </c>
      <c r="R190" s="5">
        <f t="shared" si="100"/>
        <v>22246.24666666667</v>
      </c>
      <c r="S190" s="5">
        <f t="shared" si="101"/>
        <v>88984.986666666679</v>
      </c>
      <c r="T190" s="5">
        <f t="shared" si="102"/>
        <v>111231.23333333335</v>
      </c>
      <c r="U190" s="5">
        <f t="shared" si="103"/>
        <v>22246.246666666659</v>
      </c>
    </row>
    <row r="191" spans="1:21">
      <c r="C191">
        <v>3637</v>
      </c>
      <c r="D191" t="s">
        <v>747</v>
      </c>
      <c r="E191">
        <v>117555</v>
      </c>
      <c r="G191">
        <v>2014</v>
      </c>
      <c r="H191">
        <v>10</v>
      </c>
      <c r="I191">
        <v>0</v>
      </c>
      <c r="J191" t="s">
        <v>30</v>
      </c>
      <c r="K191">
        <v>5</v>
      </c>
      <c r="L191">
        <f t="shared" si="95"/>
        <v>2019</v>
      </c>
      <c r="M191" s="27">
        <f t="shared" si="96"/>
        <v>2019.8333333333333</v>
      </c>
      <c r="N191" s="5">
        <v>16407.5</v>
      </c>
      <c r="O191" s="5">
        <f t="shared" si="97"/>
        <v>16407.5</v>
      </c>
      <c r="P191" s="5">
        <f t="shared" si="98"/>
        <v>273.45833333333331</v>
      </c>
      <c r="Q191" s="5">
        <f t="shared" si="99"/>
        <v>3281.5</v>
      </c>
      <c r="R191" s="5">
        <f t="shared" si="100"/>
        <v>2734.583333333333</v>
      </c>
      <c r="S191" s="5">
        <f t="shared" si="101"/>
        <v>13126</v>
      </c>
      <c r="T191" s="5">
        <f t="shared" si="102"/>
        <v>15860.583333333332</v>
      </c>
      <c r="U191" s="5">
        <f t="shared" si="103"/>
        <v>546.91666666666788</v>
      </c>
    </row>
    <row r="192" spans="1:21">
      <c r="A192" t="s">
        <v>1149</v>
      </c>
      <c r="B192" t="s">
        <v>342</v>
      </c>
      <c r="C192">
        <v>3641</v>
      </c>
      <c r="D192" t="s">
        <v>723</v>
      </c>
      <c r="E192">
        <v>117319</v>
      </c>
      <c r="G192">
        <v>2014</v>
      </c>
      <c r="H192">
        <v>11</v>
      </c>
      <c r="I192">
        <v>0</v>
      </c>
      <c r="J192" t="s">
        <v>30</v>
      </c>
      <c r="K192">
        <v>10</v>
      </c>
      <c r="L192">
        <f t="shared" ref="L192:L197" si="104">G192+K192</f>
        <v>2024</v>
      </c>
      <c r="M192" s="27">
        <f t="shared" ref="M192:M197" si="105">+L192+(H192/12)</f>
        <v>2024.9166666666667</v>
      </c>
      <c r="N192" s="5">
        <v>318890.2</v>
      </c>
      <c r="O192" s="5">
        <f t="shared" ref="O192:O197" si="106">N192-N192*I192</f>
        <v>318890.2</v>
      </c>
      <c r="P192" s="5">
        <f t="shared" ref="P192:P197" si="107">O192/K192/12</f>
        <v>2657.4183333333335</v>
      </c>
      <c r="Q192" s="5">
        <f t="shared" ref="Q192:Q197" si="108">P192*12</f>
        <v>31889.020000000004</v>
      </c>
      <c r="R192" s="5">
        <f t="shared" ref="R192:R197" si="109">+IF(M192&lt;=$O$5,0,IF(L192&gt;$O$4,Q192,(P192*H192)))</f>
        <v>31889.020000000004</v>
      </c>
      <c r="S192" s="5">
        <f t="shared" ref="S192:S197" si="110">+IF(R192=0,N192,IF($O$3-G192&lt;1,0,(($O$3-G192)*Q192)))</f>
        <v>127556.08000000002</v>
      </c>
      <c r="T192" s="5">
        <f t="shared" ref="T192:T197" si="111">+IF(R192=0,S192,S192+R192)</f>
        <v>159445.10000000003</v>
      </c>
      <c r="U192" s="5">
        <f t="shared" ref="U192:U197" si="112">+N192-T192</f>
        <v>159445.09999999998</v>
      </c>
    </row>
    <row r="193" spans="1:21">
      <c r="B193" t="s">
        <v>342</v>
      </c>
      <c r="C193">
        <v>3643</v>
      </c>
      <c r="D193" t="s">
        <v>766</v>
      </c>
      <c r="E193" t="s">
        <v>787</v>
      </c>
      <c r="G193">
        <v>2015</v>
      </c>
      <c r="H193">
        <v>5</v>
      </c>
      <c r="I193">
        <v>0</v>
      </c>
      <c r="J193" t="s">
        <v>30</v>
      </c>
      <c r="K193">
        <v>7</v>
      </c>
      <c r="L193">
        <f t="shared" si="104"/>
        <v>2022</v>
      </c>
      <c r="M193" s="27">
        <f t="shared" si="105"/>
        <v>2022.4166666666667</v>
      </c>
      <c r="N193" s="5">
        <f>339958.46+5973.14</f>
        <v>345931.60000000003</v>
      </c>
      <c r="O193" s="5">
        <f t="shared" si="106"/>
        <v>345931.60000000003</v>
      </c>
      <c r="P193" s="5">
        <f t="shared" si="107"/>
        <v>4118.2333333333336</v>
      </c>
      <c r="Q193" s="5">
        <f t="shared" si="108"/>
        <v>49418.8</v>
      </c>
      <c r="R193" s="5">
        <f t="shared" si="109"/>
        <v>49418.8</v>
      </c>
      <c r="S193" s="5">
        <f t="shared" si="110"/>
        <v>148256.40000000002</v>
      </c>
      <c r="T193" s="5">
        <f t="shared" si="111"/>
        <v>197675.2</v>
      </c>
      <c r="U193" s="5">
        <f t="shared" si="112"/>
        <v>148256.40000000002</v>
      </c>
    </row>
    <row r="194" spans="1:21">
      <c r="A194" t="s">
        <v>1149</v>
      </c>
      <c r="C194">
        <v>3648</v>
      </c>
      <c r="D194" t="s">
        <v>811</v>
      </c>
      <c r="E194">
        <v>128669</v>
      </c>
      <c r="G194">
        <v>2015</v>
      </c>
      <c r="H194">
        <v>12</v>
      </c>
      <c r="I194">
        <v>0</v>
      </c>
      <c r="J194" t="s">
        <v>30</v>
      </c>
      <c r="K194">
        <v>9</v>
      </c>
      <c r="L194">
        <f t="shared" si="104"/>
        <v>2024</v>
      </c>
      <c r="M194" s="27">
        <f t="shared" si="105"/>
        <v>2025</v>
      </c>
      <c r="N194" s="5">
        <v>335912.58</v>
      </c>
      <c r="O194" s="5">
        <f t="shared" si="106"/>
        <v>335912.58</v>
      </c>
      <c r="P194" s="5">
        <f t="shared" si="107"/>
        <v>3110.3016666666667</v>
      </c>
      <c r="Q194" s="5">
        <f t="shared" si="108"/>
        <v>37323.620000000003</v>
      </c>
      <c r="R194" s="5">
        <f t="shared" si="109"/>
        <v>37323.620000000003</v>
      </c>
      <c r="S194" s="5">
        <f t="shared" si="110"/>
        <v>111970.86000000002</v>
      </c>
      <c r="T194" s="5">
        <f t="shared" si="111"/>
        <v>149294.48000000001</v>
      </c>
      <c r="U194" s="5">
        <f t="shared" si="112"/>
        <v>186618.1</v>
      </c>
    </row>
    <row r="195" spans="1:21">
      <c r="C195">
        <v>3648</v>
      </c>
      <c r="D195" t="s">
        <v>812</v>
      </c>
      <c r="E195">
        <v>128929</v>
      </c>
      <c r="F195">
        <v>128669</v>
      </c>
      <c r="G195">
        <v>2015</v>
      </c>
      <c r="H195">
        <v>12</v>
      </c>
      <c r="I195">
        <v>0</v>
      </c>
      <c r="J195" t="s">
        <v>30</v>
      </c>
      <c r="K195">
        <v>10</v>
      </c>
      <c r="L195">
        <f t="shared" si="104"/>
        <v>2025</v>
      </c>
      <c r="M195" s="27">
        <f t="shared" si="105"/>
        <v>2026</v>
      </c>
      <c r="N195" s="5">
        <v>1607.35</v>
      </c>
      <c r="O195" s="5">
        <f t="shared" si="106"/>
        <v>1607.35</v>
      </c>
      <c r="P195" s="5">
        <f t="shared" si="107"/>
        <v>13.394583333333332</v>
      </c>
      <c r="Q195" s="5">
        <f t="shared" si="108"/>
        <v>160.73499999999999</v>
      </c>
      <c r="R195" s="5">
        <f t="shared" si="109"/>
        <v>160.73499999999999</v>
      </c>
      <c r="S195" s="5">
        <f t="shared" si="110"/>
        <v>482.20499999999993</v>
      </c>
      <c r="T195" s="5">
        <f t="shared" si="111"/>
        <v>642.93999999999994</v>
      </c>
      <c r="U195" s="5">
        <f t="shared" si="112"/>
        <v>964.41</v>
      </c>
    </row>
    <row r="196" spans="1:21">
      <c r="A196" t="s">
        <v>1149</v>
      </c>
      <c r="C196">
        <v>3647</v>
      </c>
      <c r="D196" t="s">
        <v>811</v>
      </c>
      <c r="E196">
        <v>128670</v>
      </c>
      <c r="G196">
        <v>2015</v>
      </c>
      <c r="H196">
        <v>12</v>
      </c>
      <c r="I196">
        <v>0</v>
      </c>
      <c r="J196" t="s">
        <v>30</v>
      </c>
      <c r="K196">
        <v>10</v>
      </c>
      <c r="L196">
        <f t="shared" si="104"/>
        <v>2025</v>
      </c>
      <c r="M196" s="27">
        <f t="shared" si="105"/>
        <v>2026</v>
      </c>
      <c r="N196" s="5">
        <v>327882.52</v>
      </c>
      <c r="O196" s="5">
        <f t="shared" si="106"/>
        <v>327882.52</v>
      </c>
      <c r="P196" s="5">
        <f t="shared" si="107"/>
        <v>2732.3543333333332</v>
      </c>
      <c r="Q196" s="5">
        <f t="shared" si="108"/>
        <v>32788.252</v>
      </c>
      <c r="R196" s="5">
        <f t="shared" si="109"/>
        <v>32788.252</v>
      </c>
      <c r="S196" s="5">
        <f t="shared" si="110"/>
        <v>98364.755999999994</v>
      </c>
      <c r="T196" s="5">
        <f t="shared" si="111"/>
        <v>131153.008</v>
      </c>
      <c r="U196" s="5">
        <f t="shared" si="112"/>
        <v>196729.51200000002</v>
      </c>
    </row>
    <row r="197" spans="1:21">
      <c r="A197" t="s">
        <v>1149</v>
      </c>
      <c r="B197" t="s">
        <v>342</v>
      </c>
      <c r="C197">
        <v>3661</v>
      </c>
      <c r="D197" t="s">
        <v>863</v>
      </c>
      <c r="E197">
        <v>189843</v>
      </c>
      <c r="G197">
        <v>2017</v>
      </c>
      <c r="H197">
        <v>11</v>
      </c>
      <c r="I197">
        <v>0</v>
      </c>
      <c r="J197" t="s">
        <v>30</v>
      </c>
      <c r="K197">
        <v>10</v>
      </c>
      <c r="L197">
        <f t="shared" si="104"/>
        <v>2027</v>
      </c>
      <c r="M197" s="27">
        <f t="shared" si="105"/>
        <v>2027.9166666666667</v>
      </c>
      <c r="N197" s="5">
        <v>336216.89</v>
      </c>
      <c r="O197" s="5">
        <f t="shared" si="106"/>
        <v>336216.89</v>
      </c>
      <c r="P197" s="5">
        <f t="shared" si="107"/>
        <v>2801.8074166666665</v>
      </c>
      <c r="Q197" s="5">
        <f t="shared" si="108"/>
        <v>33621.688999999998</v>
      </c>
      <c r="R197" s="5">
        <f t="shared" si="109"/>
        <v>33621.688999999998</v>
      </c>
      <c r="S197" s="5">
        <f t="shared" si="110"/>
        <v>33621.688999999998</v>
      </c>
      <c r="T197" s="5">
        <f t="shared" si="111"/>
        <v>67243.377999999997</v>
      </c>
      <c r="U197" s="5">
        <f t="shared" si="112"/>
        <v>268973.51199999999</v>
      </c>
    </row>
    <row r="198" spans="1:21">
      <c r="B198" t="s">
        <v>345</v>
      </c>
      <c r="C198">
        <v>2045</v>
      </c>
      <c r="D198" t="s">
        <v>831</v>
      </c>
      <c r="E198">
        <v>133441</v>
      </c>
      <c r="G198">
        <v>2016</v>
      </c>
      <c r="H198">
        <v>6</v>
      </c>
      <c r="I198">
        <v>0</v>
      </c>
      <c r="J198" t="s">
        <v>30</v>
      </c>
      <c r="K198">
        <v>10</v>
      </c>
      <c r="L198">
        <f t="shared" si="95"/>
        <v>2026</v>
      </c>
      <c r="M198" s="27">
        <f t="shared" si="96"/>
        <v>2026.5</v>
      </c>
      <c r="N198" s="5">
        <v>315919.88</v>
      </c>
      <c r="O198" s="5">
        <f t="shared" si="97"/>
        <v>315919.88</v>
      </c>
      <c r="P198" s="5">
        <f t="shared" si="98"/>
        <v>2632.6656666666668</v>
      </c>
      <c r="Q198" s="5">
        <f t="shared" si="99"/>
        <v>31591.988000000001</v>
      </c>
      <c r="R198" s="5">
        <f t="shared" si="100"/>
        <v>31591.988000000001</v>
      </c>
      <c r="S198" s="5">
        <f t="shared" si="101"/>
        <v>63183.976000000002</v>
      </c>
      <c r="T198" s="5">
        <f t="shared" si="102"/>
        <v>94775.964000000007</v>
      </c>
      <c r="U198" s="5">
        <f t="shared" si="103"/>
        <v>221143.916</v>
      </c>
    </row>
    <row r="199" spans="1:21">
      <c r="B199" t="s">
        <v>345</v>
      </c>
      <c r="C199">
        <v>2045</v>
      </c>
      <c r="D199" t="s">
        <v>836</v>
      </c>
      <c r="E199">
        <v>166253</v>
      </c>
      <c r="F199">
        <v>133441</v>
      </c>
      <c r="G199">
        <v>2016</v>
      </c>
      <c r="H199">
        <v>6</v>
      </c>
      <c r="I199">
        <v>0</v>
      </c>
      <c r="J199" t="s">
        <v>30</v>
      </c>
      <c r="K199">
        <v>10</v>
      </c>
      <c r="L199">
        <f t="shared" si="95"/>
        <v>2026</v>
      </c>
      <c r="M199" s="27">
        <f t="shared" si="96"/>
        <v>2026.5</v>
      </c>
      <c r="N199" s="5">
        <v>6375.7</v>
      </c>
      <c r="O199" s="5">
        <f t="shared" si="97"/>
        <v>6375.7</v>
      </c>
      <c r="P199" s="5">
        <f t="shared" si="98"/>
        <v>53.130833333333328</v>
      </c>
      <c r="Q199" s="5">
        <f t="shared" si="99"/>
        <v>637.56999999999994</v>
      </c>
      <c r="R199" s="5">
        <f t="shared" si="100"/>
        <v>637.56999999999994</v>
      </c>
      <c r="S199" s="5">
        <f t="shared" si="101"/>
        <v>1275.1399999999999</v>
      </c>
      <c r="T199" s="5">
        <f t="shared" si="102"/>
        <v>1912.7099999999998</v>
      </c>
      <c r="U199" s="5">
        <f t="shared" si="103"/>
        <v>4462.99</v>
      </c>
    </row>
    <row r="200" spans="1:21">
      <c r="C200">
        <v>3538</v>
      </c>
      <c r="D200" t="s">
        <v>816</v>
      </c>
      <c r="E200">
        <v>129635</v>
      </c>
      <c r="F200">
        <v>66897</v>
      </c>
      <c r="G200">
        <v>2016</v>
      </c>
      <c r="H200">
        <v>1</v>
      </c>
      <c r="I200">
        <v>0</v>
      </c>
      <c r="J200" t="s">
        <v>30</v>
      </c>
      <c r="K200">
        <v>3</v>
      </c>
      <c r="L200">
        <f t="shared" si="95"/>
        <v>2019</v>
      </c>
      <c r="M200" s="27">
        <f t="shared" si="96"/>
        <v>2019.0833333333333</v>
      </c>
      <c r="N200" s="5">
        <v>15048.63</v>
      </c>
      <c r="O200" s="5">
        <f t="shared" si="97"/>
        <v>15048.63</v>
      </c>
      <c r="P200" s="5">
        <f t="shared" si="98"/>
        <v>418.01749999999998</v>
      </c>
      <c r="Q200" s="5">
        <f t="shared" si="99"/>
        <v>5016.21</v>
      </c>
      <c r="R200" s="5">
        <f t="shared" si="100"/>
        <v>0</v>
      </c>
      <c r="S200" s="5">
        <f t="shared" si="101"/>
        <v>15048.63</v>
      </c>
      <c r="T200" s="5">
        <f t="shared" si="102"/>
        <v>15048.63</v>
      </c>
      <c r="U200" s="5">
        <f t="shared" si="103"/>
        <v>0</v>
      </c>
    </row>
    <row r="201" spans="1:21">
      <c r="D201" t="s">
        <v>871</v>
      </c>
      <c r="E201">
        <v>183284</v>
      </c>
      <c r="F201">
        <v>181935</v>
      </c>
      <c r="G201">
        <v>2017</v>
      </c>
      <c r="H201">
        <v>6</v>
      </c>
      <c r="I201">
        <v>0</v>
      </c>
      <c r="J201" t="s">
        <v>30</v>
      </c>
      <c r="K201">
        <v>10</v>
      </c>
      <c r="L201">
        <f t="shared" si="95"/>
        <v>2027</v>
      </c>
      <c r="M201" s="27">
        <f t="shared" si="96"/>
        <v>2027.5</v>
      </c>
      <c r="N201" s="5">
        <v>8346.19</v>
      </c>
      <c r="O201" s="5">
        <f t="shared" si="97"/>
        <v>8346.19</v>
      </c>
      <c r="P201" s="5">
        <f t="shared" si="98"/>
        <v>69.55158333333334</v>
      </c>
      <c r="Q201" s="5">
        <f t="shared" si="99"/>
        <v>834.61900000000014</v>
      </c>
      <c r="R201" s="5">
        <f t="shared" si="100"/>
        <v>834.61900000000014</v>
      </c>
      <c r="S201" s="5">
        <f t="shared" si="101"/>
        <v>834.61900000000014</v>
      </c>
      <c r="T201" s="5">
        <f t="shared" si="102"/>
        <v>1669.2380000000003</v>
      </c>
      <c r="U201" s="5">
        <f t="shared" si="103"/>
        <v>6676.9520000000002</v>
      </c>
    </row>
    <row r="202" spans="1:21" s="39" customFormat="1">
      <c r="B202" s="39" t="s">
        <v>342</v>
      </c>
      <c r="C202" s="39">
        <v>3650</v>
      </c>
      <c r="D202" s="39" t="s">
        <v>811</v>
      </c>
      <c r="E202" s="39">
        <v>132077</v>
      </c>
      <c r="G202" s="39">
        <v>2016</v>
      </c>
      <c r="H202" s="39">
        <v>4</v>
      </c>
      <c r="I202" s="39">
        <v>0</v>
      </c>
      <c r="J202" s="39" t="s">
        <v>30</v>
      </c>
      <c r="K202" s="39">
        <v>10</v>
      </c>
      <c r="L202" s="39">
        <f>G202+K202</f>
        <v>2026</v>
      </c>
      <c r="M202" s="40">
        <f>+L202+(H202/12)</f>
        <v>2026.3333333333333</v>
      </c>
      <c r="N202" s="41">
        <v>339573.74</v>
      </c>
      <c r="O202" s="41">
        <f>N202-N202*I202</f>
        <v>339573.74</v>
      </c>
      <c r="P202" s="41">
        <f>O202/K202/12</f>
        <v>2829.7811666666662</v>
      </c>
      <c r="Q202" s="41">
        <f>P202*12</f>
        <v>33957.373999999996</v>
      </c>
      <c r="R202" s="41">
        <f>+IF(M202&lt;=$O$5,0,IF(L202&gt;$O$4,Q202,(P202*H202)))</f>
        <v>33957.373999999996</v>
      </c>
      <c r="S202" s="41">
        <f>+IF(R202=0,N202,IF($O$3-G202&lt;1,0,(($O$3-G202)*Q202)))</f>
        <v>67914.747999999992</v>
      </c>
      <c r="T202" s="41">
        <f>+IF(R202=0,S202,S202+R202)</f>
        <v>101872.12199999999</v>
      </c>
      <c r="U202" s="41">
        <f>+N202-T202</f>
        <v>237701.61800000002</v>
      </c>
    </row>
    <row r="203" spans="1:21" s="39" customFormat="1">
      <c r="B203" s="39" t="s">
        <v>342</v>
      </c>
      <c r="C203" s="39">
        <v>3657</v>
      </c>
      <c r="D203" s="39" t="s">
        <v>864</v>
      </c>
      <c r="E203" s="39">
        <v>185370</v>
      </c>
      <c r="F203" s="39" t="s">
        <v>372</v>
      </c>
      <c r="G203" s="39">
        <v>2017</v>
      </c>
      <c r="H203" s="39">
        <v>7</v>
      </c>
      <c r="I203" s="39">
        <v>0</v>
      </c>
      <c r="J203" s="39" t="s">
        <v>30</v>
      </c>
      <c r="K203" s="39">
        <v>10</v>
      </c>
      <c r="L203" s="39">
        <f>G203+K203</f>
        <v>2027</v>
      </c>
      <c r="M203" s="40">
        <f>+L203+(H203/12)</f>
        <v>2027.5833333333333</v>
      </c>
      <c r="N203" s="41">
        <v>335381.96999999997</v>
      </c>
      <c r="O203" s="41">
        <f>N203-N203*I203</f>
        <v>335381.96999999997</v>
      </c>
      <c r="P203" s="41">
        <f>O203/K203/12</f>
        <v>2794.8497499999999</v>
      </c>
      <c r="Q203" s="41">
        <f>P203*12</f>
        <v>33538.197</v>
      </c>
      <c r="R203" s="41">
        <f>+IF(M203&lt;=$O$5,0,IF(L203&gt;$O$4,Q203,(P203*H203)))</f>
        <v>33538.197</v>
      </c>
      <c r="S203" s="41">
        <f>+IF(R203=0,N203,IF($O$3-G203&lt;1,0,(($O$3-G203)*Q203)))</f>
        <v>33538.197</v>
      </c>
      <c r="T203" s="41">
        <f>+IF(R203=0,S203,S203+R203)</f>
        <v>67076.394</v>
      </c>
      <c r="U203" s="41">
        <f>+N203-T203</f>
        <v>268305.576</v>
      </c>
    </row>
    <row r="204" spans="1:21" s="39" customFormat="1">
      <c r="B204" s="39" t="s">
        <v>342</v>
      </c>
      <c r="C204" s="39">
        <v>3658</v>
      </c>
      <c r="D204" s="39" t="s">
        <v>863</v>
      </c>
      <c r="E204" s="39">
        <v>185371</v>
      </c>
      <c r="F204" s="39" t="s">
        <v>372</v>
      </c>
      <c r="G204" s="39">
        <v>2017</v>
      </c>
      <c r="H204" s="39">
        <v>7</v>
      </c>
      <c r="I204" s="39">
        <v>0</v>
      </c>
      <c r="J204" s="39" t="s">
        <v>30</v>
      </c>
      <c r="K204" s="39">
        <v>10</v>
      </c>
      <c r="L204" s="39">
        <f>G204+K204</f>
        <v>2027</v>
      </c>
      <c r="M204" s="40">
        <f>+L204+(H204/12)</f>
        <v>2027.5833333333333</v>
      </c>
      <c r="N204" s="41">
        <v>334566.83</v>
      </c>
      <c r="O204" s="41">
        <f>N204-N204*I204</f>
        <v>334566.83</v>
      </c>
      <c r="P204" s="41">
        <f>O204/K204/12</f>
        <v>2788.0569166666669</v>
      </c>
      <c r="Q204" s="41">
        <f>P204*12</f>
        <v>33456.683000000005</v>
      </c>
      <c r="R204" s="41">
        <f>+IF(M204&lt;=$O$5,0,IF(L204&gt;$O$4,Q204,(P204*H204)))</f>
        <v>33456.683000000005</v>
      </c>
      <c r="S204" s="41">
        <f>+IF(R204=0,N204,IF($O$3-G204&lt;1,0,(($O$3-G204)*Q204)))</f>
        <v>33456.683000000005</v>
      </c>
      <c r="T204" s="41">
        <f>+IF(R204=0,S204,S204+R204)</f>
        <v>66913.366000000009</v>
      </c>
      <c r="U204" s="41">
        <f>+N204-T204</f>
        <v>267653.46400000004</v>
      </c>
    </row>
    <row r="205" spans="1:21" s="39" customFormat="1">
      <c r="B205" s="39" t="s">
        <v>342</v>
      </c>
      <c r="C205" s="39">
        <v>3660</v>
      </c>
      <c r="D205" s="39" t="s">
        <v>863</v>
      </c>
      <c r="E205" s="39" t="s">
        <v>891</v>
      </c>
      <c r="G205" s="39">
        <v>2017</v>
      </c>
      <c r="H205" s="39">
        <v>11</v>
      </c>
      <c r="I205" s="39">
        <v>0</v>
      </c>
      <c r="J205" s="39" t="s">
        <v>30</v>
      </c>
      <c r="K205" s="39">
        <v>10</v>
      </c>
      <c r="L205" s="39">
        <f>G205+K205</f>
        <v>2027</v>
      </c>
      <c r="M205" s="40">
        <f>+L205+(H205/12)</f>
        <v>2027.9166666666667</v>
      </c>
      <c r="N205" s="41">
        <v>336142.23</v>
      </c>
      <c r="O205" s="41">
        <f>N205-N205*I205</f>
        <v>336142.23</v>
      </c>
      <c r="P205" s="41">
        <f>O205/K205/12</f>
        <v>2801.18525</v>
      </c>
      <c r="Q205" s="41">
        <f>P205*12</f>
        <v>33614.222999999998</v>
      </c>
      <c r="R205" s="41">
        <f>+IF(M205&lt;=$O$5,0,IF(L205&gt;$O$4,Q205,(P205*H205)))</f>
        <v>33614.222999999998</v>
      </c>
      <c r="S205" s="41">
        <f>+IF(R205=0,N205,IF($O$3-G205&lt;1,0,(($O$3-G205)*Q205)))</f>
        <v>33614.222999999998</v>
      </c>
      <c r="T205" s="41">
        <f>+IF(R205=0,S205,S205+R205)</f>
        <v>67228.445999999996</v>
      </c>
      <c r="U205" s="41">
        <f>+N205-T205</f>
        <v>268913.78399999999</v>
      </c>
    </row>
    <row r="206" spans="1:21" s="26" customFormat="1">
      <c r="A206" s="24"/>
      <c r="B206" s="24"/>
      <c r="C206" s="24"/>
      <c r="D206" s="24" t="s">
        <v>1201</v>
      </c>
      <c r="E206" s="24"/>
      <c r="F206" s="24"/>
      <c r="G206" s="24"/>
      <c r="H206" s="24"/>
      <c r="I206" s="24"/>
      <c r="J206" s="24"/>
      <c r="K206" s="24"/>
      <c r="L206" s="29"/>
      <c r="M206" s="28"/>
      <c r="N206" s="25"/>
      <c r="O206" s="25"/>
      <c r="P206" s="25"/>
      <c r="Q206" s="25"/>
      <c r="R206" s="25">
        <f>SUM(R470)</f>
        <v>12194.900000000003</v>
      </c>
      <c r="S206" s="25"/>
      <c r="T206" s="25"/>
      <c r="U206" s="25">
        <v>0</v>
      </c>
    </row>
    <row r="207" spans="1:21" s="17" customFormat="1">
      <c r="M207" s="42"/>
      <c r="N207" s="43"/>
      <c r="O207" s="43"/>
      <c r="P207" s="43"/>
      <c r="Q207" s="43"/>
      <c r="R207" s="43"/>
      <c r="S207" s="43"/>
      <c r="T207" s="43"/>
      <c r="U207" s="43"/>
    </row>
    <row r="208" spans="1:21">
      <c r="N208" s="5"/>
      <c r="O208" s="5"/>
      <c r="P208" s="5"/>
      <c r="Q208" s="5"/>
      <c r="R208" s="5"/>
      <c r="S208" s="5">
        <f t="shared" si="101"/>
        <v>0</v>
      </c>
      <c r="T208" s="5"/>
      <c r="U208" s="5"/>
    </row>
    <row r="209" spans="1:21">
      <c r="L209" s="6" t="s">
        <v>434</v>
      </c>
      <c r="N209" s="9">
        <f t="shared" ref="N209:U209" si="113">SUM(N153:N208)</f>
        <v>7155970.1289025508</v>
      </c>
      <c r="O209" s="9">
        <f t="shared" si="113"/>
        <v>7130578.1909025516</v>
      </c>
      <c r="P209" s="9">
        <f t="shared" si="113"/>
        <v>82609.922776418171</v>
      </c>
      <c r="Q209" s="9">
        <f t="shared" si="113"/>
        <v>991319.07331701787</v>
      </c>
      <c r="R209" s="9">
        <f t="shared" si="113"/>
        <v>655306.57703174604</v>
      </c>
      <c r="S209" s="9">
        <f t="shared" si="113"/>
        <v>3729696.5561882639</v>
      </c>
      <c r="T209" s="9">
        <f t="shared" si="113"/>
        <v>4372808.233220011</v>
      </c>
      <c r="U209" s="9">
        <f t="shared" si="113"/>
        <v>2783161.8956825398</v>
      </c>
    </row>
    <row r="210" spans="1:21">
      <c r="N210" s="5"/>
      <c r="O210" s="5"/>
      <c r="P210" s="5"/>
      <c r="Q210" s="5"/>
      <c r="R210" s="5"/>
      <c r="S210" s="5">
        <f t="shared" ref="S210:S215" si="114">+IF(R210=0,N210,IF($O$3-G210&lt;1,0,(($O$3-G210)*Q210)))</f>
        <v>0</v>
      </c>
      <c r="T210" s="5"/>
      <c r="U210" s="5"/>
    </row>
    <row r="211" spans="1:21">
      <c r="B211" s="4" t="s">
        <v>1154</v>
      </c>
      <c r="N211" s="5"/>
      <c r="O211" s="5"/>
      <c r="P211" s="5"/>
      <c r="Q211" s="5"/>
      <c r="R211" s="5"/>
      <c r="S211" s="5">
        <f t="shared" si="114"/>
        <v>0</v>
      </c>
      <c r="T211" s="5"/>
      <c r="U211" s="5"/>
    </row>
    <row r="212" spans="1:21">
      <c r="A212" t="s">
        <v>36</v>
      </c>
      <c r="B212" t="s">
        <v>342</v>
      </c>
      <c r="C212">
        <v>3659</v>
      </c>
      <c r="D212" t="s">
        <v>863</v>
      </c>
      <c r="E212" t="s">
        <v>897</v>
      </c>
      <c r="F212" t="s">
        <v>372</v>
      </c>
      <c r="G212">
        <v>2017</v>
      </c>
      <c r="H212">
        <v>7</v>
      </c>
      <c r="I212">
        <v>0</v>
      </c>
      <c r="J212" t="s">
        <v>30</v>
      </c>
      <c r="K212">
        <v>10</v>
      </c>
      <c r="L212">
        <f>G212+K212</f>
        <v>2027</v>
      </c>
      <c r="M212" s="27">
        <f>+L212+(H212/12)</f>
        <v>2027.5833333333333</v>
      </c>
      <c r="N212" s="5">
        <f>333655.94+703.67</f>
        <v>334359.61</v>
      </c>
      <c r="O212" s="5">
        <f>N212-N212*I212</f>
        <v>334359.61</v>
      </c>
      <c r="P212" s="5">
        <f>O212/K212/12</f>
        <v>2786.3300833333328</v>
      </c>
      <c r="Q212" s="5">
        <f>P212*12</f>
        <v>33435.960999999996</v>
      </c>
      <c r="R212" s="5">
        <f>+IF(M212&lt;=$O$5,0,IF(L212&gt;$O$4,Q212,(P212*H212)))</f>
        <v>33435.960999999996</v>
      </c>
      <c r="S212" s="5">
        <f t="shared" si="114"/>
        <v>33435.960999999996</v>
      </c>
      <c r="T212" s="5">
        <f>+IF(R212=0,S212,S212+R212)</f>
        <v>66871.921999999991</v>
      </c>
      <c r="U212" s="5">
        <f>+N212-T212</f>
        <v>267487.68799999997</v>
      </c>
    </row>
    <row r="213" spans="1:21">
      <c r="B213" t="s">
        <v>342</v>
      </c>
      <c r="C213">
        <v>3659</v>
      </c>
      <c r="D213" t="s">
        <v>862</v>
      </c>
      <c r="E213">
        <v>185586</v>
      </c>
      <c r="F213">
        <v>185372</v>
      </c>
      <c r="G213">
        <v>2017</v>
      </c>
      <c r="H213">
        <v>7</v>
      </c>
      <c r="I213">
        <v>0</v>
      </c>
      <c r="J213" t="s">
        <v>30</v>
      </c>
      <c r="K213">
        <v>10</v>
      </c>
      <c r="L213">
        <f>G213+K213</f>
        <v>2027</v>
      </c>
      <c r="M213" s="27">
        <f>+L213+(H213/12)</f>
        <v>2027.5833333333333</v>
      </c>
      <c r="N213" s="5">
        <v>1069.3900000000001</v>
      </c>
      <c r="O213" s="5">
        <f>N213-N213*I213</f>
        <v>1069.3900000000001</v>
      </c>
      <c r="P213" s="5">
        <f>O213/K213/12</f>
        <v>8.9115833333333345</v>
      </c>
      <c r="Q213" s="5">
        <f>P213*12</f>
        <v>106.93900000000002</v>
      </c>
      <c r="R213" s="5">
        <f>+IF(M213&lt;=$O$5,0,IF(L213&gt;$O$4,Q213,(P213*H213)))</f>
        <v>106.93900000000002</v>
      </c>
      <c r="S213" s="5">
        <f t="shared" si="114"/>
        <v>106.93900000000002</v>
      </c>
      <c r="T213" s="5">
        <f>+IF(R213=0,S213,S213+R213)</f>
        <v>213.87800000000004</v>
      </c>
      <c r="U213" s="5">
        <f>+N213-T213</f>
        <v>855.51200000000006</v>
      </c>
    </row>
    <row r="214" spans="1:21">
      <c r="B214" t="s">
        <v>623</v>
      </c>
      <c r="C214">
        <v>2041</v>
      </c>
      <c r="D214" t="s">
        <v>692</v>
      </c>
      <c r="E214" t="s">
        <v>693</v>
      </c>
      <c r="G214">
        <v>2013</v>
      </c>
      <c r="H214">
        <v>12</v>
      </c>
      <c r="I214">
        <v>0</v>
      </c>
      <c r="J214" t="s">
        <v>30</v>
      </c>
      <c r="K214">
        <v>7</v>
      </c>
      <c r="L214">
        <f>G214+K214</f>
        <v>2020</v>
      </c>
      <c r="M214" s="27">
        <f>+L214+(H214/12)</f>
        <v>2021</v>
      </c>
      <c r="N214" s="5">
        <f>295986.36+629.19+798</f>
        <v>297413.55</v>
      </c>
      <c r="O214" s="5">
        <f>N214-N214*I214</f>
        <v>297413.55</v>
      </c>
      <c r="P214" s="5">
        <f>O214/K214/12</f>
        <v>3540.6375000000003</v>
      </c>
      <c r="Q214" s="5">
        <f>P214*12</f>
        <v>42487.65</v>
      </c>
      <c r="R214" s="5">
        <f>+IF(M214&lt;=$O$5,0,IF(L214&gt;$O$4,Q214,(P214*H214)))</f>
        <v>42487.65</v>
      </c>
      <c r="S214" s="5">
        <f t="shared" si="114"/>
        <v>212438.25</v>
      </c>
      <c r="T214" s="5">
        <f>+IF(R214=0,S214,S214+R214)</f>
        <v>254925.9</v>
      </c>
      <c r="U214" s="5">
        <f>+N214-T214</f>
        <v>42487.649999999994</v>
      </c>
    </row>
    <row r="215" spans="1:21">
      <c r="N215" s="5"/>
      <c r="O215" s="5"/>
      <c r="P215" s="5"/>
      <c r="Q215" s="5"/>
      <c r="R215" s="5"/>
      <c r="S215" s="5">
        <f t="shared" si="114"/>
        <v>0</v>
      </c>
      <c r="T215" s="5"/>
      <c r="U215" s="5"/>
    </row>
    <row r="216" spans="1:21">
      <c r="L216" s="6" t="s">
        <v>434</v>
      </c>
      <c r="N216" s="9">
        <f>SUM(N212:N215)</f>
        <v>632842.55000000005</v>
      </c>
      <c r="O216" s="9">
        <f t="shared" ref="O216:U216" si="115">SUM(O212:O215)</f>
        <v>632842.55000000005</v>
      </c>
      <c r="P216" s="9">
        <f t="shared" si="115"/>
        <v>6335.8791666666666</v>
      </c>
      <c r="Q216" s="9">
        <f t="shared" si="115"/>
        <v>76030.549999999988</v>
      </c>
      <c r="R216" s="9">
        <f t="shared" si="115"/>
        <v>76030.549999999988</v>
      </c>
      <c r="S216" s="9">
        <f t="shared" si="115"/>
        <v>245981.15</v>
      </c>
      <c r="T216" s="9">
        <f t="shared" si="115"/>
        <v>322011.69999999995</v>
      </c>
      <c r="U216" s="9">
        <f t="shared" si="115"/>
        <v>310830.84999999998</v>
      </c>
    </row>
    <row r="217" spans="1:21">
      <c r="N217" s="5"/>
      <c r="O217" s="5"/>
      <c r="P217" s="5"/>
      <c r="Q217" s="5"/>
      <c r="R217" s="5"/>
      <c r="S217" s="5">
        <f>+IF(R217=0,N217,IF($O$3-G217&lt;1,0,(($O$3-G217)*Q217)))</f>
        <v>0</v>
      </c>
      <c r="T217" s="5"/>
      <c r="U217" s="5"/>
    </row>
    <row r="218" spans="1:21">
      <c r="B218" s="4" t="s">
        <v>1155</v>
      </c>
      <c r="N218" s="5"/>
      <c r="O218" s="5"/>
      <c r="P218" s="5"/>
      <c r="Q218" s="5"/>
      <c r="R218" s="5"/>
      <c r="S218" s="5">
        <f>+IF(R218=0,N218,IF($O$3-G218&lt;1,0,(($O$3-G218)*Q218)))</f>
        <v>0</v>
      </c>
      <c r="T218" s="5"/>
      <c r="U218" s="5"/>
    </row>
    <row r="219" spans="1:21">
      <c r="C219">
        <v>11085</v>
      </c>
      <c r="D219" t="s">
        <v>33</v>
      </c>
      <c r="G219">
        <v>2004</v>
      </c>
      <c r="H219">
        <v>12</v>
      </c>
      <c r="I219">
        <v>0</v>
      </c>
      <c r="J219" t="s">
        <v>30</v>
      </c>
      <c r="K219">
        <v>7</v>
      </c>
      <c r="L219">
        <f t="shared" ref="L219:L228" si="116">G219+K219</f>
        <v>2011</v>
      </c>
      <c r="M219" s="27">
        <f t="shared" ref="M219:M226" si="117">+L219+(H219/12)</f>
        <v>2012</v>
      </c>
      <c r="N219" s="5">
        <f>'2180 Trucks - Orig.'!O205</f>
        <v>3435.5613333333336</v>
      </c>
      <c r="O219" s="5">
        <f t="shared" ref="O219:O226" si="118">N219-N219*I219</f>
        <v>3435.5613333333336</v>
      </c>
      <c r="P219" s="5">
        <f t="shared" ref="P219:P226" si="119">O219/K219/12</f>
        <v>40.89953968253969</v>
      </c>
      <c r="Q219" s="5">
        <f t="shared" ref="Q219:Q226" si="120">P219*12</f>
        <v>490.7944761904763</v>
      </c>
      <c r="R219" s="5">
        <f t="shared" ref="R219:R226" si="121">+IF(M219&lt;=$O$5,0,IF(L219&gt;$O$4,Q219,(P219*H219)))</f>
        <v>0</v>
      </c>
      <c r="S219" s="5">
        <f t="shared" ref="S219:S226" si="122">+IF(R219=0,N219,IF($O$3-G219&lt;1,0,(($O$3-G219)*Q219)))</f>
        <v>3435.5613333333336</v>
      </c>
      <c r="T219" s="5">
        <f t="shared" ref="T219:T226" si="123">+IF(R219=0,S219,S219+R219)</f>
        <v>3435.5613333333336</v>
      </c>
      <c r="U219" s="5">
        <f t="shared" ref="U219:U226" si="124">+N219-T219</f>
        <v>0</v>
      </c>
    </row>
    <row r="220" spans="1:21" s="26" customFormat="1">
      <c r="A220" s="24"/>
      <c r="B220" s="24"/>
      <c r="C220" s="24"/>
      <c r="D220" s="24" t="s">
        <v>962</v>
      </c>
      <c r="E220" s="24"/>
      <c r="F220" s="24"/>
      <c r="G220" s="24">
        <v>2018</v>
      </c>
      <c r="H220" s="24">
        <v>12</v>
      </c>
      <c r="I220" s="24">
        <v>0</v>
      </c>
      <c r="J220" s="24" t="s">
        <v>30</v>
      </c>
      <c r="K220" s="24">
        <f>+IF(L219-$O$3&gt;=3,L219-$O$3,3)</f>
        <v>3</v>
      </c>
      <c r="L220" s="29">
        <f t="shared" si="116"/>
        <v>2021</v>
      </c>
      <c r="M220" s="28">
        <f>+L220+(H220/12)</f>
        <v>2022</v>
      </c>
      <c r="N220" s="25">
        <f>'2180 Trucks - Orig.'!N205-'2180 Trucks'!N219</f>
        <v>858.89033333333327</v>
      </c>
      <c r="O220" s="25">
        <f>N220-N220*I220</f>
        <v>858.89033333333327</v>
      </c>
      <c r="P220" s="25">
        <f>O220/K220/12</f>
        <v>23.858064814814814</v>
      </c>
      <c r="Q220" s="25">
        <f>P220*12</f>
        <v>286.29677777777778</v>
      </c>
      <c r="R220" s="25">
        <f t="shared" si="121"/>
        <v>286.29677777777778</v>
      </c>
      <c r="S220" s="25">
        <f t="shared" si="122"/>
        <v>0</v>
      </c>
      <c r="T220" s="25">
        <f t="shared" si="123"/>
        <v>286.29677777777778</v>
      </c>
      <c r="U220" s="25">
        <f t="shared" si="124"/>
        <v>572.59355555555544</v>
      </c>
    </row>
    <row r="221" spans="1:21">
      <c r="A221" t="s">
        <v>43</v>
      </c>
      <c r="B221" t="s">
        <v>342</v>
      </c>
      <c r="C221">
        <v>3594</v>
      </c>
      <c r="D221" t="s">
        <v>51</v>
      </c>
      <c r="G221">
        <v>2006</v>
      </c>
      <c r="H221">
        <v>5</v>
      </c>
      <c r="I221">
        <v>0</v>
      </c>
      <c r="J221" t="s">
        <v>30</v>
      </c>
      <c r="K221">
        <v>7</v>
      </c>
      <c r="L221">
        <f t="shared" si="116"/>
        <v>2013</v>
      </c>
      <c r="M221" s="27">
        <f>+L221+(H221/12)</f>
        <v>2013.4166666666667</v>
      </c>
      <c r="N221" s="5">
        <f>'2180 Trucks - Orig.'!O28</f>
        <v>146842.576</v>
      </c>
      <c r="O221" s="5">
        <f>N221-N221*I221</f>
        <v>146842.576</v>
      </c>
      <c r="P221" s="5">
        <f>O221/K221/12</f>
        <v>1748.1259047619048</v>
      </c>
      <c r="Q221" s="5">
        <f>P221*12</f>
        <v>20977.510857142857</v>
      </c>
      <c r="R221" s="5">
        <f>+IF(M221&lt;=$O$5,0,IF(L221&gt;$O$4,Q221,(P221*H221)))</f>
        <v>0</v>
      </c>
      <c r="S221" s="5">
        <f>+IF(R221=0,N221,IF($O$3-G221&lt;1,0,(($O$3-G221)*Q221)))</f>
        <v>146842.576</v>
      </c>
      <c r="T221" s="5">
        <f>+IF(R221=0,S221,S221+R221)</f>
        <v>146842.576</v>
      </c>
      <c r="U221" s="5">
        <f>+N221-T221</f>
        <v>0</v>
      </c>
    </row>
    <row r="222" spans="1:21" s="26" customFormat="1">
      <c r="A222" s="24"/>
      <c r="B222" s="24"/>
      <c r="C222" s="24"/>
      <c r="D222" s="24" t="s">
        <v>967</v>
      </c>
      <c r="E222" s="24"/>
      <c r="F222" s="24"/>
      <c r="G222" s="24">
        <v>2018</v>
      </c>
      <c r="H222" s="24">
        <v>12</v>
      </c>
      <c r="I222" s="24">
        <v>0</v>
      </c>
      <c r="J222" s="24" t="s">
        <v>30</v>
      </c>
      <c r="K222" s="24">
        <f>+IF(L221-$O$3&gt;=3,L221-$O$3,3)</f>
        <v>3</v>
      </c>
      <c r="L222" s="29">
        <f t="shared" si="116"/>
        <v>2021</v>
      </c>
      <c r="M222" s="28">
        <f>+L222+(H222/12)</f>
        <v>2022</v>
      </c>
      <c r="N222" s="25">
        <f>'2180 Trucks - Orig.'!N28-'2180 Trucks'!N221</f>
        <v>36710.644</v>
      </c>
      <c r="O222" s="25">
        <f>N222-N222*I222</f>
        <v>36710.644</v>
      </c>
      <c r="P222" s="25">
        <f>O222/K222/12</f>
        <v>1019.7401111111111</v>
      </c>
      <c r="Q222" s="25">
        <f>P222*12</f>
        <v>12236.881333333333</v>
      </c>
      <c r="R222" s="25">
        <f>+IF(M222&lt;=$O$5,0,IF(L222&gt;$O$4,Q222,(P222*H222)))</f>
        <v>12236.881333333333</v>
      </c>
      <c r="S222" s="25">
        <f>+IF(R222=0,N222,IF($O$3-G222&lt;1,0,(($O$3-G222)*Q222)))</f>
        <v>0</v>
      </c>
      <c r="T222" s="25">
        <f>+IF(R222=0,S222,S222+R222)</f>
        <v>12236.881333333333</v>
      </c>
      <c r="U222" s="25">
        <f>+N222-T222</f>
        <v>24473.762666666669</v>
      </c>
    </row>
    <row r="223" spans="1:21">
      <c r="D223" t="s">
        <v>446</v>
      </c>
      <c r="E223" t="s">
        <v>445</v>
      </c>
      <c r="G223">
        <v>2006</v>
      </c>
      <c r="H223">
        <v>12</v>
      </c>
      <c r="I223">
        <v>0</v>
      </c>
      <c r="J223" t="s">
        <v>30</v>
      </c>
      <c r="K223">
        <v>5</v>
      </c>
      <c r="L223">
        <f t="shared" si="116"/>
        <v>2011</v>
      </c>
      <c r="M223" s="27">
        <f t="shared" si="117"/>
        <v>2012</v>
      </c>
      <c r="N223" s="5">
        <f>(9918.49+20060.36+141742.3)*1/36</f>
        <v>4770.031944444444</v>
      </c>
      <c r="O223" s="5">
        <f t="shared" si="118"/>
        <v>4770.031944444444</v>
      </c>
      <c r="P223" s="5">
        <f t="shared" si="119"/>
        <v>79.500532407407391</v>
      </c>
      <c r="Q223" s="5">
        <f t="shared" si="120"/>
        <v>954.00638888888875</v>
      </c>
      <c r="R223" s="5">
        <f t="shared" si="121"/>
        <v>0</v>
      </c>
      <c r="S223" s="5">
        <f t="shared" si="122"/>
        <v>4770.031944444444</v>
      </c>
      <c r="T223" s="5">
        <f t="shared" si="123"/>
        <v>4770.031944444444</v>
      </c>
      <c r="U223" s="5">
        <f t="shared" si="124"/>
        <v>0</v>
      </c>
    </row>
    <row r="224" spans="1:21">
      <c r="D224" t="s">
        <v>442</v>
      </c>
      <c r="E224" t="s">
        <v>443</v>
      </c>
      <c r="F224" t="s">
        <v>372</v>
      </c>
      <c r="G224">
        <v>2009</v>
      </c>
      <c r="H224">
        <v>7</v>
      </c>
      <c r="I224">
        <v>0</v>
      </c>
      <c r="J224" t="s">
        <v>30</v>
      </c>
      <c r="K224">
        <v>5</v>
      </c>
      <c r="L224">
        <f t="shared" si="116"/>
        <v>2014</v>
      </c>
      <c r="M224" s="27">
        <f t="shared" si="117"/>
        <v>2014.5833333333333</v>
      </c>
      <c r="N224" s="5">
        <f>(6722.48+38653.29+641.31+1194.22+14225.95)*4/61</f>
        <v>4028.6721311475408</v>
      </c>
      <c r="O224" s="5">
        <f t="shared" si="118"/>
        <v>4028.6721311475408</v>
      </c>
      <c r="P224" s="5">
        <f t="shared" si="119"/>
        <v>67.144535519125682</v>
      </c>
      <c r="Q224" s="5">
        <f t="shared" si="120"/>
        <v>805.73442622950824</v>
      </c>
      <c r="R224" s="5">
        <f t="shared" si="121"/>
        <v>0</v>
      </c>
      <c r="S224" s="5">
        <f t="shared" si="122"/>
        <v>4028.6721311475408</v>
      </c>
      <c r="T224" s="5">
        <f t="shared" si="123"/>
        <v>4028.6721311475408</v>
      </c>
      <c r="U224" s="5">
        <f t="shared" si="124"/>
        <v>0</v>
      </c>
    </row>
    <row r="225" spans="1:21">
      <c r="D225" t="s">
        <v>448</v>
      </c>
      <c r="E225" t="s">
        <v>447</v>
      </c>
      <c r="G225">
        <v>2009</v>
      </c>
      <c r="H225">
        <v>7</v>
      </c>
      <c r="I225">
        <v>0</v>
      </c>
      <c r="J225" t="s">
        <v>30</v>
      </c>
      <c r="K225">
        <v>5</v>
      </c>
      <c r="L225">
        <f t="shared" si="116"/>
        <v>2014</v>
      </c>
      <c r="M225" s="27">
        <f t="shared" si="117"/>
        <v>2014.5833333333333</v>
      </c>
      <c r="N225" s="5">
        <f>(34912.65+1078.65+10913.06)*1/46</f>
        <v>1019.66</v>
      </c>
      <c r="O225" s="5">
        <f t="shared" si="118"/>
        <v>1019.66</v>
      </c>
      <c r="P225" s="5">
        <f t="shared" si="119"/>
        <v>16.994333333333334</v>
      </c>
      <c r="Q225" s="5">
        <f t="shared" si="120"/>
        <v>203.93200000000002</v>
      </c>
      <c r="R225" s="5">
        <f t="shared" si="121"/>
        <v>0</v>
      </c>
      <c r="S225" s="5">
        <f t="shared" si="122"/>
        <v>1019.66</v>
      </c>
      <c r="T225" s="5">
        <f t="shared" si="123"/>
        <v>1019.66</v>
      </c>
      <c r="U225" s="5">
        <f t="shared" si="124"/>
        <v>0</v>
      </c>
    </row>
    <row r="226" spans="1:21">
      <c r="D226" t="s">
        <v>377</v>
      </c>
      <c r="E226">
        <v>75160</v>
      </c>
      <c r="F226" t="s">
        <v>372</v>
      </c>
      <c r="G226">
        <v>2010</v>
      </c>
      <c r="H226">
        <v>6</v>
      </c>
      <c r="I226">
        <v>0</v>
      </c>
      <c r="J226" t="s">
        <v>30</v>
      </c>
      <c r="K226">
        <v>5</v>
      </c>
      <c r="L226">
        <f t="shared" si="116"/>
        <v>2015</v>
      </c>
      <c r="M226" s="27">
        <f t="shared" si="117"/>
        <v>2015.5</v>
      </c>
      <c r="N226" s="5">
        <f>16772.32*4/61</f>
        <v>1099.824262295082</v>
      </c>
      <c r="O226" s="5">
        <f t="shared" si="118"/>
        <v>1099.824262295082</v>
      </c>
      <c r="P226" s="5">
        <f t="shared" si="119"/>
        <v>18.330404371584702</v>
      </c>
      <c r="Q226" s="5">
        <f t="shared" si="120"/>
        <v>219.96485245901641</v>
      </c>
      <c r="R226" s="5">
        <f t="shared" si="121"/>
        <v>0</v>
      </c>
      <c r="S226" s="5">
        <f t="shared" si="122"/>
        <v>1099.824262295082</v>
      </c>
      <c r="T226" s="5">
        <f t="shared" si="123"/>
        <v>1099.824262295082</v>
      </c>
      <c r="U226" s="5">
        <f t="shared" si="124"/>
        <v>0</v>
      </c>
    </row>
    <row r="227" spans="1:21">
      <c r="A227" t="s">
        <v>43</v>
      </c>
      <c r="B227" t="s">
        <v>342</v>
      </c>
      <c r="C227">
        <v>3633</v>
      </c>
      <c r="D227" t="s">
        <v>778</v>
      </c>
      <c r="E227" t="s">
        <v>641</v>
      </c>
      <c r="G227">
        <v>2012</v>
      </c>
      <c r="H227">
        <v>9</v>
      </c>
      <c r="I227">
        <v>0</v>
      </c>
      <c r="J227" t="s">
        <v>30</v>
      </c>
      <c r="K227">
        <v>7</v>
      </c>
      <c r="L227">
        <f t="shared" si="116"/>
        <v>2019</v>
      </c>
      <c r="M227" s="27">
        <f>+L227+(H227/12)</f>
        <v>2019.75</v>
      </c>
      <c r="N227" s="5">
        <f>314012-63</f>
        <v>313949</v>
      </c>
      <c r="O227" s="5">
        <f>N227-N227*I227</f>
        <v>313949</v>
      </c>
      <c r="P227" s="5">
        <f>O227/K227/12</f>
        <v>3737.4880952380954</v>
      </c>
      <c r="Q227" s="5">
        <f>P227*12</f>
        <v>44849.857142857145</v>
      </c>
      <c r="R227" s="5">
        <f>+IF(M227&lt;=$O$5,0,IF(L227&gt;$O$4,Q227,(P227*H227)))</f>
        <v>33637.392857142855</v>
      </c>
      <c r="S227" s="5">
        <f>+IF(R227=0,N227,IF($O$3-G227&lt;1,0,(($O$3-G227)*Q227)))</f>
        <v>269099.14285714284</v>
      </c>
      <c r="T227" s="5">
        <f>+IF(R227=0,S227,S227+R227)</f>
        <v>302736.53571428568</v>
      </c>
      <c r="U227" s="5">
        <f>+N227-T227</f>
        <v>11212.464285714319</v>
      </c>
    </row>
    <row r="228" spans="1:21">
      <c r="B228" t="s">
        <v>342</v>
      </c>
      <c r="C228">
        <v>3651</v>
      </c>
      <c r="D228" t="s">
        <v>811</v>
      </c>
      <c r="E228">
        <v>132079</v>
      </c>
      <c r="G228">
        <v>2016</v>
      </c>
      <c r="H228">
        <v>4</v>
      </c>
      <c r="I228">
        <v>0</v>
      </c>
      <c r="J228" t="s">
        <v>30</v>
      </c>
      <c r="K228">
        <v>10</v>
      </c>
      <c r="L228">
        <f t="shared" si="116"/>
        <v>2026</v>
      </c>
      <c r="M228" s="27">
        <f>+L228+(H228/12)</f>
        <v>2026.3333333333333</v>
      </c>
      <c r="N228" s="5">
        <v>337626.52</v>
      </c>
      <c r="O228" s="5">
        <f>N228-N228*I228</f>
        <v>337626.52</v>
      </c>
      <c r="P228" s="5">
        <f>O228/K228/12</f>
        <v>2813.5543333333335</v>
      </c>
      <c r="Q228" s="5">
        <f>P228*12</f>
        <v>33762.652000000002</v>
      </c>
      <c r="R228" s="5">
        <f>+IF(M228&lt;=$O$5,0,IF(L228&gt;$O$4,Q228,(P228*H228)))</f>
        <v>33762.652000000002</v>
      </c>
      <c r="S228" s="5">
        <f>+IF(R228=0,N228,IF($O$3-G228&lt;1,0,(($O$3-G228)*Q228)))</f>
        <v>67525.304000000004</v>
      </c>
      <c r="T228" s="5">
        <f>+IF(R228=0,S228,S228+R228)</f>
        <v>101287.95600000001</v>
      </c>
      <c r="U228" s="5">
        <f>+N228-T228</f>
        <v>236338.56400000001</v>
      </c>
    </row>
    <row r="229" spans="1:21" s="26" customFormat="1">
      <c r="A229" s="24"/>
      <c r="B229" s="24"/>
      <c r="C229" s="24"/>
      <c r="D229" s="24" t="s">
        <v>1201</v>
      </c>
      <c r="E229" s="24"/>
      <c r="F229" s="24"/>
      <c r="G229" s="24"/>
      <c r="H229" s="24"/>
      <c r="I229" s="24"/>
      <c r="J229" s="24"/>
      <c r="K229" s="24"/>
      <c r="L229" s="29"/>
      <c r="M229" s="28"/>
      <c r="N229" s="25"/>
      <c r="O229" s="25"/>
      <c r="P229" s="25"/>
      <c r="Q229" s="25"/>
      <c r="R229" s="25">
        <f>R462+R464</f>
        <v>23569.484666666664</v>
      </c>
      <c r="S229" s="25"/>
      <c r="T229" s="25"/>
      <c r="U229" s="25">
        <v>0</v>
      </c>
    </row>
    <row r="230" spans="1:21">
      <c r="N230" s="5"/>
      <c r="O230" s="5"/>
      <c r="P230" s="5"/>
      <c r="Q230" s="5"/>
      <c r="R230" s="5"/>
      <c r="S230" s="5">
        <f>+IF(R230=0,N230,IF($O$3-G230&lt;1,0,(($O$3-G230)*Q230)))</f>
        <v>0</v>
      </c>
      <c r="T230" s="5"/>
      <c r="U230" s="5"/>
    </row>
    <row r="231" spans="1:21">
      <c r="L231" s="6" t="s">
        <v>436</v>
      </c>
      <c r="N231" s="9">
        <f t="shared" ref="N231:T231" si="125">SUM(N219:N230)</f>
        <v>850341.38000455371</v>
      </c>
      <c r="O231" s="9">
        <f t="shared" si="125"/>
        <v>850341.38000455371</v>
      </c>
      <c r="P231" s="9">
        <f t="shared" si="125"/>
        <v>9565.635854573251</v>
      </c>
      <c r="Q231" s="9">
        <f t="shared" si="125"/>
        <v>114787.63025487901</v>
      </c>
      <c r="R231" s="9">
        <f>SUM(R219:R230)</f>
        <v>103492.70763492063</v>
      </c>
      <c r="S231" s="9">
        <f t="shared" si="125"/>
        <v>497820.77252836328</v>
      </c>
      <c r="T231" s="9">
        <f t="shared" si="125"/>
        <v>577743.99549661716</v>
      </c>
      <c r="U231" s="9">
        <f>SUM(U219:U230)</f>
        <v>272597.38450793654</v>
      </c>
    </row>
    <row r="232" spans="1:21">
      <c r="N232" s="5"/>
      <c r="O232" s="5"/>
      <c r="P232" s="5"/>
      <c r="Q232" s="5"/>
      <c r="R232" s="5"/>
      <c r="S232" s="5">
        <f t="shared" ref="S232:S248" si="126">+IF(R232=0,N232,IF($O$3-G232&lt;1,0,(($O$3-G232)*Q232)))</f>
        <v>0</v>
      </c>
      <c r="T232" s="5"/>
      <c r="U232" s="5"/>
    </row>
    <row r="233" spans="1:21">
      <c r="B233" s="4" t="s">
        <v>1156</v>
      </c>
      <c r="N233" s="5"/>
      <c r="O233" s="5"/>
      <c r="P233" s="5"/>
      <c r="Q233" s="5"/>
      <c r="R233" s="5"/>
      <c r="S233" s="5">
        <f t="shared" si="126"/>
        <v>0</v>
      </c>
      <c r="T233" s="5"/>
      <c r="U233" s="5"/>
    </row>
    <row r="234" spans="1:21">
      <c r="A234" t="s">
        <v>34</v>
      </c>
      <c r="B234" t="s">
        <v>341</v>
      </c>
      <c r="C234">
        <v>1065</v>
      </c>
      <c r="D234" t="s">
        <v>57</v>
      </c>
      <c r="G234">
        <v>2007</v>
      </c>
      <c r="H234">
        <v>5</v>
      </c>
      <c r="I234">
        <v>0</v>
      </c>
      <c r="J234" t="s">
        <v>30</v>
      </c>
      <c r="K234">
        <v>7</v>
      </c>
      <c r="L234">
        <f t="shared" ref="L234:L243" si="127">G234+K234</f>
        <v>2014</v>
      </c>
      <c r="M234" s="27">
        <f t="shared" ref="M234:M243" si="128">+L234+(H234/12)</f>
        <v>2014.4166666666667</v>
      </c>
      <c r="N234" s="5">
        <f>'2180 Trucks - Orig.'!O37</f>
        <v>101874.976</v>
      </c>
      <c r="O234" s="5">
        <f t="shared" ref="O234:O243" si="129">N234-N234*I234</f>
        <v>101874.976</v>
      </c>
      <c r="P234" s="5">
        <f t="shared" ref="P234:P243" si="130">O234/K234/12</f>
        <v>1212.7973333333332</v>
      </c>
      <c r="Q234" s="5">
        <f t="shared" ref="Q234:Q243" si="131">P234*12</f>
        <v>14553.567999999999</v>
      </c>
      <c r="R234" s="5">
        <f t="shared" ref="R234:R243" si="132">+IF(M234&lt;=$O$5,0,IF(L234&gt;$O$4,Q234,(P234*H234)))</f>
        <v>0</v>
      </c>
      <c r="S234" s="5">
        <f t="shared" si="126"/>
        <v>101874.976</v>
      </c>
      <c r="T234" s="5">
        <f t="shared" ref="T234:T243" si="133">+IF(R234=0,S234,S234+R234)</f>
        <v>101874.976</v>
      </c>
      <c r="U234" s="5">
        <f t="shared" ref="U234:U243" si="134">+N234-T234</f>
        <v>0</v>
      </c>
    </row>
    <row r="235" spans="1:21" s="26" customFormat="1">
      <c r="A235" s="24"/>
      <c r="B235" s="24"/>
      <c r="C235" s="24"/>
      <c r="D235" s="24" t="s">
        <v>974</v>
      </c>
      <c r="E235" s="24"/>
      <c r="F235" s="24"/>
      <c r="G235" s="24">
        <v>2018</v>
      </c>
      <c r="H235" s="24">
        <v>12</v>
      </c>
      <c r="I235" s="24">
        <v>0</v>
      </c>
      <c r="J235" s="24" t="s">
        <v>30</v>
      </c>
      <c r="K235" s="24">
        <f>+IF(L234-$O$3&gt;=3,L234-$O$3,3)</f>
        <v>3</v>
      </c>
      <c r="L235" s="29">
        <f t="shared" si="127"/>
        <v>2021</v>
      </c>
      <c r="M235" s="28">
        <f t="shared" si="128"/>
        <v>2022</v>
      </c>
      <c r="N235" s="25">
        <f>'2180 Trucks - Orig.'!N37-'2180 Trucks'!N234</f>
        <v>25468.744000000006</v>
      </c>
      <c r="O235" s="25">
        <f t="shared" si="129"/>
        <v>25468.744000000006</v>
      </c>
      <c r="P235" s="25">
        <f t="shared" si="130"/>
        <v>707.46511111111124</v>
      </c>
      <c r="Q235" s="25">
        <f t="shared" si="131"/>
        <v>8489.5813333333354</v>
      </c>
      <c r="R235" s="25">
        <f t="shared" si="132"/>
        <v>8489.5813333333354</v>
      </c>
      <c r="S235" s="25">
        <f t="shared" si="126"/>
        <v>0</v>
      </c>
      <c r="T235" s="25">
        <f t="shared" si="133"/>
        <v>8489.5813333333354</v>
      </c>
      <c r="U235" s="25">
        <f t="shared" si="134"/>
        <v>16979.162666666671</v>
      </c>
    </row>
    <row r="236" spans="1:21">
      <c r="B236" t="s">
        <v>341</v>
      </c>
      <c r="C236">
        <v>1065</v>
      </c>
      <c r="D236" t="s">
        <v>837</v>
      </c>
      <c r="E236">
        <v>166606</v>
      </c>
      <c r="F236">
        <v>60779</v>
      </c>
      <c r="G236">
        <v>2016</v>
      </c>
      <c r="H236">
        <v>7</v>
      </c>
      <c r="I236">
        <v>0</v>
      </c>
      <c r="J236" t="s">
        <v>30</v>
      </c>
      <c r="K236">
        <v>3</v>
      </c>
      <c r="L236">
        <f t="shared" si="127"/>
        <v>2019</v>
      </c>
      <c r="M236" s="27">
        <f t="shared" si="128"/>
        <v>2019.5833333333333</v>
      </c>
      <c r="N236" s="5">
        <v>16305.92</v>
      </c>
      <c r="O236" s="5">
        <f t="shared" si="129"/>
        <v>16305.92</v>
      </c>
      <c r="P236" s="5">
        <f t="shared" si="130"/>
        <v>452.9422222222222</v>
      </c>
      <c r="Q236" s="5">
        <f t="shared" si="131"/>
        <v>5435.3066666666664</v>
      </c>
      <c r="R236" s="5">
        <f t="shared" si="132"/>
        <v>3170.5955555555556</v>
      </c>
      <c r="S236" s="5">
        <f t="shared" si="126"/>
        <v>10870.613333333333</v>
      </c>
      <c r="T236" s="5">
        <f t="shared" si="133"/>
        <v>14041.208888888888</v>
      </c>
      <c r="U236" s="5">
        <f t="shared" si="134"/>
        <v>2264.7111111111117</v>
      </c>
    </row>
    <row r="237" spans="1:21">
      <c r="C237">
        <v>1065</v>
      </c>
      <c r="D237" t="s">
        <v>1042</v>
      </c>
      <c r="E237">
        <v>204837</v>
      </c>
      <c r="F237">
        <v>60779</v>
      </c>
      <c r="G237">
        <v>2018</v>
      </c>
      <c r="H237">
        <v>10</v>
      </c>
      <c r="I237">
        <v>0</v>
      </c>
      <c r="J237" t="s">
        <v>30</v>
      </c>
      <c r="K237">
        <v>3</v>
      </c>
      <c r="L237">
        <f>G237+K237</f>
        <v>2021</v>
      </c>
      <c r="M237" s="27">
        <f>+L237+(H237/12)</f>
        <v>2021.8333333333333</v>
      </c>
      <c r="N237" s="5">
        <v>14824.26</v>
      </c>
      <c r="O237" s="5">
        <f>N237-N237*I237</f>
        <v>14824.26</v>
      </c>
      <c r="P237" s="5">
        <f>O237/K237/12</f>
        <v>411.78500000000003</v>
      </c>
      <c r="Q237" s="5">
        <f>P237*12</f>
        <v>4941.42</v>
      </c>
      <c r="R237" s="5">
        <f>+IF(M237&lt;=$O$5,0,IF(L237&gt;$O$4,Q237,(P237*H237)))</f>
        <v>4941.42</v>
      </c>
      <c r="S237" s="5">
        <f>+IF(R237=0,N237,IF($O$3-G237&lt;1,0,(($O$3-G237)*Q237)))</f>
        <v>0</v>
      </c>
      <c r="T237" s="5">
        <f>+IF(R237=0,S237,S237+R237)</f>
        <v>4941.42</v>
      </c>
      <c r="U237" s="5">
        <f>+N237-T237</f>
        <v>9882.84</v>
      </c>
    </row>
    <row r="238" spans="1:21">
      <c r="A238" t="s">
        <v>34</v>
      </c>
      <c r="B238" t="s">
        <v>345</v>
      </c>
      <c r="C238">
        <v>2030</v>
      </c>
      <c r="D238" t="s">
        <v>55</v>
      </c>
      <c r="G238">
        <v>2007</v>
      </c>
      <c r="H238">
        <v>7</v>
      </c>
      <c r="I238">
        <v>0</v>
      </c>
      <c r="J238" t="s">
        <v>30</v>
      </c>
      <c r="K238">
        <v>7</v>
      </c>
      <c r="L238">
        <f>G238+K238</f>
        <v>2014</v>
      </c>
      <c r="M238" s="27">
        <f>+L238+(H238/12)</f>
        <v>2014.5833333333333</v>
      </c>
      <c r="N238" s="5">
        <f>'2180 Trucks - Orig.'!O231</f>
        <v>172457.95199999999</v>
      </c>
      <c r="O238" s="5">
        <f>N238-N238*I238</f>
        <v>172457.95199999999</v>
      </c>
      <c r="P238" s="5">
        <f>O238/K238/12</f>
        <v>2053.0708571428572</v>
      </c>
      <c r="Q238" s="5">
        <f>P238*12</f>
        <v>24636.850285714288</v>
      </c>
      <c r="R238" s="5">
        <f>+IF(M238&lt;=$O$5,0,IF(L238&gt;$O$4,Q238,(P238*H238)))</f>
        <v>0</v>
      </c>
      <c r="S238" s="5">
        <f>+IF(R238=0,N238,IF($O$3-G238&lt;1,0,(($O$3-G238)*Q238)))</f>
        <v>172457.95199999999</v>
      </c>
      <c r="T238" s="5">
        <f>+IF(R238=0,S238,S238+R238)</f>
        <v>172457.95199999999</v>
      </c>
      <c r="U238" s="5">
        <f>+N238-T238</f>
        <v>0</v>
      </c>
    </row>
    <row r="239" spans="1:21" s="26" customFormat="1">
      <c r="A239" s="24"/>
      <c r="B239" s="24"/>
      <c r="C239" s="24"/>
      <c r="D239" s="24" t="s">
        <v>1007</v>
      </c>
      <c r="E239" s="24"/>
      <c r="F239" s="24"/>
      <c r="G239" s="24">
        <v>2018</v>
      </c>
      <c r="H239" s="24">
        <v>12</v>
      </c>
      <c r="I239" s="24">
        <v>0</v>
      </c>
      <c r="J239" s="24" t="s">
        <v>30</v>
      </c>
      <c r="K239" s="24">
        <f>+IF(L238-$O$3&gt;=3,L238-$O$3,3)</f>
        <v>3</v>
      </c>
      <c r="L239" s="29">
        <f>G239+K239</f>
        <v>2021</v>
      </c>
      <c r="M239" s="28">
        <f>+L239+(H239/12)</f>
        <v>2022</v>
      </c>
      <c r="N239" s="25">
        <f>'2180 Trucks - Orig.'!N231-'2180 Trucks'!N238</f>
        <v>43114.488000000012</v>
      </c>
      <c r="O239" s="25">
        <f>N239-N239*I239</f>
        <v>43114.488000000012</v>
      </c>
      <c r="P239" s="25">
        <f>O239/K239/12</f>
        <v>1197.6246666666671</v>
      </c>
      <c r="Q239" s="25">
        <f>P239*12</f>
        <v>14371.496000000005</v>
      </c>
      <c r="R239" s="25">
        <f>+IF(M239&lt;=$O$5,0,IF(L239&gt;$O$4,Q239,(P239*H239)))</f>
        <v>14371.496000000005</v>
      </c>
      <c r="S239" s="25">
        <f>+IF(R239=0,N239,IF($O$3-G239&lt;1,0,(($O$3-G239)*Q239)))</f>
        <v>0</v>
      </c>
      <c r="T239" s="25">
        <f>+IF(R239=0,S239,S239+R239)</f>
        <v>14371.496000000005</v>
      </c>
      <c r="U239" s="25">
        <f>+N239-T239</f>
        <v>28742.992000000006</v>
      </c>
    </row>
    <row r="240" spans="1:21">
      <c r="A240" t="s">
        <v>34</v>
      </c>
      <c r="B240" t="s">
        <v>623</v>
      </c>
      <c r="C240">
        <v>2038</v>
      </c>
      <c r="D240" t="s">
        <v>624</v>
      </c>
      <c r="E240" t="s">
        <v>657</v>
      </c>
      <c r="G240">
        <v>2012</v>
      </c>
      <c r="H240">
        <v>3</v>
      </c>
      <c r="I240">
        <v>0</v>
      </c>
      <c r="J240" t="s">
        <v>30</v>
      </c>
      <c r="K240">
        <v>5</v>
      </c>
      <c r="L240">
        <f t="shared" si="127"/>
        <v>2017</v>
      </c>
      <c r="M240" s="27">
        <f t="shared" si="128"/>
        <v>2017.25</v>
      </c>
      <c r="N240" s="5">
        <f>244600+23417</f>
        <v>268017</v>
      </c>
      <c r="O240" s="5">
        <f t="shared" si="129"/>
        <v>268017</v>
      </c>
      <c r="P240" s="5">
        <f t="shared" si="130"/>
        <v>4466.95</v>
      </c>
      <c r="Q240" s="5">
        <f t="shared" si="131"/>
        <v>53603.399999999994</v>
      </c>
      <c r="R240" s="5">
        <f t="shared" si="132"/>
        <v>0</v>
      </c>
      <c r="S240" s="5">
        <f t="shared" si="126"/>
        <v>268017</v>
      </c>
      <c r="T240" s="5">
        <f t="shared" si="133"/>
        <v>268017</v>
      </c>
      <c r="U240" s="5">
        <f t="shared" si="134"/>
        <v>0</v>
      </c>
    </row>
    <row r="241" spans="1:21">
      <c r="A241" t="s">
        <v>606</v>
      </c>
      <c r="B241" t="s">
        <v>623</v>
      </c>
      <c r="C241">
        <v>2039</v>
      </c>
      <c r="D241" t="s">
        <v>633</v>
      </c>
      <c r="E241" t="s">
        <v>634</v>
      </c>
      <c r="G241">
        <v>2012</v>
      </c>
      <c r="H241">
        <v>4</v>
      </c>
      <c r="I241">
        <v>0</v>
      </c>
      <c r="J241" t="s">
        <v>30</v>
      </c>
      <c r="K241">
        <v>5</v>
      </c>
      <c r="L241">
        <f>G241+K241</f>
        <v>2017</v>
      </c>
      <c r="M241" s="27">
        <f>+L241+(H241/12)</f>
        <v>2017.3333333333333</v>
      </c>
      <c r="N241" s="5">
        <f>244600+24206-47</f>
        <v>268759</v>
      </c>
      <c r="O241" s="5">
        <f>N241-N241*I241</f>
        <v>268759</v>
      </c>
      <c r="P241" s="5">
        <f>O241/K241/12</f>
        <v>4479.3166666666666</v>
      </c>
      <c r="Q241" s="5">
        <f>P241*12</f>
        <v>53751.8</v>
      </c>
      <c r="R241" s="5">
        <f>+IF(M241&lt;=$O$5,0,IF(L241&gt;$O$4,Q241,(P241*H241)))</f>
        <v>0</v>
      </c>
      <c r="S241" s="5">
        <f>+IF(R241=0,N241,IF($O$3-G241&lt;1,0,(($O$3-G241)*Q241)))</f>
        <v>268759</v>
      </c>
      <c r="T241" s="5">
        <f>+IF(R241=0,S241,S241+R241)</f>
        <v>268759</v>
      </c>
      <c r="U241" s="5">
        <f>+N241-T241</f>
        <v>0</v>
      </c>
    </row>
    <row r="242" spans="1:21">
      <c r="A242" t="s">
        <v>34</v>
      </c>
      <c r="B242" t="s">
        <v>345</v>
      </c>
      <c r="C242">
        <v>2042</v>
      </c>
      <c r="D242" t="s">
        <v>724</v>
      </c>
      <c r="E242">
        <v>114545</v>
      </c>
      <c r="G242">
        <v>2014</v>
      </c>
      <c r="H242">
        <v>7</v>
      </c>
      <c r="I242">
        <v>0</v>
      </c>
      <c r="J242" t="s">
        <v>30</v>
      </c>
      <c r="K242">
        <v>8</v>
      </c>
      <c r="L242">
        <f t="shared" si="127"/>
        <v>2022</v>
      </c>
      <c r="M242" s="27">
        <f t="shared" si="128"/>
        <v>2022.5833333333333</v>
      </c>
      <c r="N242" s="5">
        <v>285481.71999999997</v>
      </c>
      <c r="O242" s="5">
        <f t="shared" si="129"/>
        <v>285481.71999999997</v>
      </c>
      <c r="P242" s="5">
        <f t="shared" si="130"/>
        <v>2973.7679166666662</v>
      </c>
      <c r="Q242" s="5">
        <f t="shared" si="131"/>
        <v>35685.214999999997</v>
      </c>
      <c r="R242" s="5">
        <f t="shared" si="132"/>
        <v>35685.214999999997</v>
      </c>
      <c r="S242" s="5">
        <f t="shared" si="126"/>
        <v>142740.85999999999</v>
      </c>
      <c r="T242" s="5">
        <f t="shared" si="133"/>
        <v>178426.07499999998</v>
      </c>
      <c r="U242" s="5">
        <f t="shared" si="134"/>
        <v>107055.64499999999</v>
      </c>
    </row>
    <row r="243" spans="1:21">
      <c r="A243" t="s">
        <v>34</v>
      </c>
      <c r="B243" t="s">
        <v>345</v>
      </c>
      <c r="C243">
        <v>2043</v>
      </c>
      <c r="D243" t="s">
        <v>735</v>
      </c>
      <c r="E243" t="s">
        <v>736</v>
      </c>
      <c r="G243">
        <v>2014</v>
      </c>
      <c r="H243">
        <v>10</v>
      </c>
      <c r="I243">
        <v>0</v>
      </c>
      <c r="J243" t="s">
        <v>30</v>
      </c>
      <c r="K243">
        <v>5</v>
      </c>
      <c r="L243">
        <f t="shared" si="127"/>
        <v>2019</v>
      </c>
      <c r="M243" s="27">
        <f t="shared" si="128"/>
        <v>2019.8333333333333</v>
      </c>
      <c r="N243" s="5">
        <f>257104+22274.73+913.92</f>
        <v>280292.64999999997</v>
      </c>
      <c r="O243" s="5">
        <f t="shared" si="129"/>
        <v>280292.64999999997</v>
      </c>
      <c r="P243" s="5">
        <f t="shared" si="130"/>
        <v>4671.5441666666657</v>
      </c>
      <c r="Q243" s="5">
        <f t="shared" si="131"/>
        <v>56058.529999999984</v>
      </c>
      <c r="R243" s="5">
        <f t="shared" si="132"/>
        <v>46715.441666666658</v>
      </c>
      <c r="S243" s="5">
        <f t="shared" si="126"/>
        <v>224234.11999999994</v>
      </c>
      <c r="T243" s="5">
        <f t="shared" si="133"/>
        <v>270949.56166666659</v>
      </c>
      <c r="U243" s="5">
        <f t="shared" si="134"/>
        <v>9343.0883333333768</v>
      </c>
    </row>
    <row r="244" spans="1:21" s="39" customFormat="1">
      <c r="B244" s="39" t="s">
        <v>623</v>
      </c>
      <c r="C244" s="39">
        <v>2047</v>
      </c>
      <c r="D244" s="39" t="s">
        <v>865</v>
      </c>
      <c r="E244" s="39" t="s">
        <v>896</v>
      </c>
      <c r="F244" s="39" t="s">
        <v>372</v>
      </c>
      <c r="G244" s="39">
        <v>2017</v>
      </c>
      <c r="H244" s="39">
        <v>7</v>
      </c>
      <c r="I244" s="39">
        <v>0</v>
      </c>
      <c r="J244" s="39" t="s">
        <v>30</v>
      </c>
      <c r="K244" s="39">
        <v>10</v>
      </c>
      <c r="L244" s="39">
        <f>G244+K244</f>
        <v>2027</v>
      </c>
      <c r="M244" s="40">
        <f>+L244+(H244/12)</f>
        <v>2027.5833333333333</v>
      </c>
      <c r="N244" s="41">
        <f>308316.27+1720.1</f>
        <v>310036.37</v>
      </c>
      <c r="O244" s="41">
        <f>N244-N244*I244</f>
        <v>310036.37</v>
      </c>
      <c r="P244" s="41">
        <f>O244/K244/12</f>
        <v>2583.6364166666667</v>
      </c>
      <c r="Q244" s="41">
        <f>P244*12</f>
        <v>31003.637000000002</v>
      </c>
      <c r="R244" s="41">
        <f>+IF(M244&lt;=$O$5,0,IF(L244&gt;$O$4,Q244,(P244*H244)))</f>
        <v>31003.637000000002</v>
      </c>
      <c r="S244" s="41">
        <f>+IF(R244=0,N244,IF($O$3-G244&lt;1,0,(($O$3-G244)*Q244)))</f>
        <v>31003.637000000002</v>
      </c>
      <c r="T244" s="41">
        <f>+IF(R244=0,S244,S244+R244)</f>
        <v>62007.274000000005</v>
      </c>
      <c r="U244" s="41">
        <f>+N244-T244</f>
        <v>248029.09599999999</v>
      </c>
    </row>
    <row r="245" spans="1:21" s="39" customFormat="1">
      <c r="C245" s="39">
        <v>2047</v>
      </c>
      <c r="D245" s="39" t="s">
        <v>866</v>
      </c>
      <c r="E245" s="39">
        <v>185175</v>
      </c>
      <c r="F245" s="39">
        <v>184365</v>
      </c>
      <c r="G245" s="39">
        <v>2017</v>
      </c>
      <c r="H245" s="39">
        <v>7</v>
      </c>
      <c r="I245" s="39">
        <v>0</v>
      </c>
      <c r="J245" s="39" t="s">
        <v>30</v>
      </c>
      <c r="K245" s="39">
        <v>5</v>
      </c>
      <c r="L245" s="39">
        <f>G245+K245</f>
        <v>2022</v>
      </c>
      <c r="M245" s="40">
        <f>+L245+(H245/12)</f>
        <v>2022.5833333333333</v>
      </c>
      <c r="N245" s="41">
        <v>995.61</v>
      </c>
      <c r="O245" s="41">
        <f>N245-N245*I245</f>
        <v>995.61</v>
      </c>
      <c r="P245" s="41">
        <f>O245/K245/12</f>
        <v>16.593500000000002</v>
      </c>
      <c r="Q245" s="41">
        <f>P245*12</f>
        <v>199.12200000000001</v>
      </c>
      <c r="R245" s="41">
        <f>+IF(M245&lt;=$O$5,0,IF(L245&gt;$O$4,Q245,(P245*H245)))</f>
        <v>199.12200000000001</v>
      </c>
      <c r="S245" s="41">
        <f>+IF(R245=0,N245,IF($O$3-G245&lt;1,0,(($O$3-G245)*Q245)))</f>
        <v>199.12200000000001</v>
      </c>
      <c r="T245" s="41">
        <f>+IF(R245=0,S245,S245+R245)</f>
        <v>398.24400000000003</v>
      </c>
      <c r="U245" s="41">
        <f>+N245-T245</f>
        <v>597.36599999999999</v>
      </c>
    </row>
    <row r="246" spans="1:21" s="39" customFormat="1">
      <c r="C246" s="39">
        <v>2047</v>
      </c>
      <c r="D246" s="39" t="s">
        <v>867</v>
      </c>
      <c r="E246" s="39">
        <v>185086</v>
      </c>
      <c r="F246" s="39">
        <v>184365</v>
      </c>
      <c r="G246" s="39">
        <v>2017</v>
      </c>
      <c r="H246" s="39">
        <v>7</v>
      </c>
      <c r="I246" s="39">
        <v>0</v>
      </c>
      <c r="J246" s="39" t="s">
        <v>30</v>
      </c>
      <c r="K246" s="39">
        <v>10</v>
      </c>
      <c r="L246" s="39">
        <f>G246+K246</f>
        <v>2027</v>
      </c>
      <c r="M246" s="40">
        <f>+L246+(H246/12)</f>
        <v>2027.5833333333333</v>
      </c>
      <c r="N246" s="41">
        <v>7085.38</v>
      </c>
      <c r="O246" s="41">
        <f>N246-N246*I246</f>
        <v>7085.38</v>
      </c>
      <c r="P246" s="41">
        <f>O246/K246/12</f>
        <v>59.044833333333337</v>
      </c>
      <c r="Q246" s="41">
        <f>P246*12</f>
        <v>708.53800000000001</v>
      </c>
      <c r="R246" s="41">
        <f>+IF(M246&lt;=$O$5,0,IF(L246&gt;$O$4,Q246,(P246*H246)))</f>
        <v>708.53800000000001</v>
      </c>
      <c r="S246" s="41">
        <f>+IF(R246=0,N246,IF($O$3-G246&lt;1,0,(($O$3-G246)*Q246)))</f>
        <v>708.53800000000001</v>
      </c>
      <c r="T246" s="41">
        <f>+IF(R246=0,S246,S246+R246)</f>
        <v>1417.076</v>
      </c>
      <c r="U246" s="41">
        <f>+N246-T246</f>
        <v>5668.3040000000001</v>
      </c>
    </row>
    <row r="247" spans="1:21" s="39" customFormat="1">
      <c r="C247" s="39">
        <v>2047</v>
      </c>
      <c r="D247" s="39" t="s">
        <v>868</v>
      </c>
      <c r="E247" s="39">
        <v>184563</v>
      </c>
      <c r="F247" s="39">
        <v>184365</v>
      </c>
      <c r="G247" s="39">
        <v>2017</v>
      </c>
      <c r="H247" s="39">
        <v>7</v>
      </c>
      <c r="I247" s="39">
        <v>0</v>
      </c>
      <c r="J247" s="39" t="s">
        <v>30</v>
      </c>
      <c r="K247" s="39">
        <v>5</v>
      </c>
      <c r="L247" s="39">
        <f>G247+K247</f>
        <v>2022</v>
      </c>
      <c r="M247" s="40">
        <f>+L247+(H247/12)</f>
        <v>2022.5833333333333</v>
      </c>
      <c r="N247" s="41">
        <v>1913.81</v>
      </c>
      <c r="O247" s="41">
        <f>N247-N247*I247</f>
        <v>1913.81</v>
      </c>
      <c r="P247" s="41">
        <f>O247/K247/12</f>
        <v>31.896833333333333</v>
      </c>
      <c r="Q247" s="41">
        <f>P247*12</f>
        <v>382.762</v>
      </c>
      <c r="R247" s="41">
        <f>+IF(M247&lt;=$O$5,0,IF(L247&gt;$O$4,Q247,(P247*H247)))</f>
        <v>382.762</v>
      </c>
      <c r="S247" s="41">
        <f>+IF(R247=0,N247,IF($O$3-G247&lt;1,0,(($O$3-G247)*Q247)))</f>
        <v>382.762</v>
      </c>
      <c r="T247" s="41">
        <f>+IF(R247=0,S247,S247+R247)</f>
        <v>765.524</v>
      </c>
      <c r="U247" s="41">
        <f>+N247-T247</f>
        <v>1148.2860000000001</v>
      </c>
    </row>
    <row r="248" spans="1:21">
      <c r="N248" s="5"/>
      <c r="O248" s="5"/>
      <c r="P248" s="5"/>
      <c r="Q248" s="5"/>
      <c r="R248" s="5"/>
      <c r="S248" s="5">
        <f t="shared" si="126"/>
        <v>0</v>
      </c>
      <c r="T248" s="5"/>
      <c r="U248" s="5"/>
    </row>
    <row r="249" spans="1:21">
      <c r="L249" s="6" t="s">
        <v>698</v>
      </c>
      <c r="N249" s="9">
        <f t="shared" ref="N249:U249" si="135">SUM(N234:N248)</f>
        <v>1796627.8800000001</v>
      </c>
      <c r="O249" s="9">
        <f t="shared" si="135"/>
        <v>1796627.8800000001</v>
      </c>
      <c r="P249" s="9">
        <f t="shared" si="135"/>
        <v>25318.435523809523</v>
      </c>
      <c r="Q249" s="9">
        <f t="shared" si="135"/>
        <v>303821.22628571425</v>
      </c>
      <c r="R249" s="9">
        <f t="shared" si="135"/>
        <v>145667.80855555556</v>
      </c>
      <c r="S249" s="9">
        <f t="shared" si="135"/>
        <v>1221248.5803333335</v>
      </c>
      <c r="T249" s="9">
        <f t="shared" si="135"/>
        <v>1366916.3888888885</v>
      </c>
      <c r="U249" s="9">
        <f t="shared" si="135"/>
        <v>429711.49111111113</v>
      </c>
    </row>
    <row r="250" spans="1:21">
      <c r="N250" s="5"/>
      <c r="O250" s="5"/>
      <c r="P250" s="5"/>
      <c r="Q250" s="5"/>
      <c r="R250" s="5"/>
      <c r="S250" s="5">
        <f t="shared" ref="S250:S257" si="136">+IF(R250=0,N250,IF($O$3-G250&lt;1,0,(($O$3-G250)*Q250)))</f>
        <v>0</v>
      </c>
      <c r="T250" s="5"/>
      <c r="U250" s="5"/>
    </row>
    <row r="251" spans="1:21">
      <c r="B251" s="4" t="s">
        <v>1157</v>
      </c>
      <c r="N251" s="5"/>
      <c r="O251" s="5"/>
      <c r="P251" s="5"/>
      <c r="Q251" s="5"/>
      <c r="R251" s="5"/>
      <c r="S251" s="5">
        <f t="shared" si="136"/>
        <v>0</v>
      </c>
      <c r="T251" s="5"/>
      <c r="U251" s="5"/>
    </row>
    <row r="252" spans="1:21">
      <c r="A252" t="s">
        <v>161</v>
      </c>
      <c r="C252">
        <v>9569</v>
      </c>
      <c r="D252" t="s">
        <v>889</v>
      </c>
      <c r="E252">
        <v>188923</v>
      </c>
      <c r="G252">
        <v>2017</v>
      </c>
      <c r="H252">
        <v>11</v>
      </c>
      <c r="I252">
        <v>0</v>
      </c>
      <c r="J252" t="s">
        <v>30</v>
      </c>
      <c r="K252">
        <v>10</v>
      </c>
      <c r="L252">
        <f t="shared" ref="L252:L257" si="137">G252+K252</f>
        <v>2027</v>
      </c>
      <c r="M252" s="27">
        <f t="shared" ref="M252:M257" si="138">+L252+(H252/12)</f>
        <v>2027.9166666666667</v>
      </c>
      <c r="N252" s="5">
        <v>68242.36</v>
      </c>
      <c r="O252" s="5">
        <f t="shared" ref="O252:O257" si="139">N252-N252*I252</f>
        <v>68242.36</v>
      </c>
      <c r="P252" s="5">
        <f t="shared" ref="P252:P257" si="140">O252/K252/12</f>
        <v>568.68633333333332</v>
      </c>
      <c r="Q252" s="5">
        <f t="shared" ref="Q252:Q257" si="141">P252*12</f>
        <v>6824.2359999999999</v>
      </c>
      <c r="R252" s="5">
        <f t="shared" ref="R252:R257" si="142">+IF(M252&lt;=$O$5,0,IF(L252&gt;$O$4,Q252,(P252*H252)))</f>
        <v>6824.2359999999999</v>
      </c>
      <c r="S252" s="5">
        <f t="shared" si="136"/>
        <v>6824.2359999999999</v>
      </c>
      <c r="T252" s="5">
        <f t="shared" ref="T252:T257" si="143">+IF(R252=0,S252,S252+R252)</f>
        <v>13648.472</v>
      </c>
      <c r="U252" s="5">
        <f t="shared" ref="U252:U257" si="144">+N252-T252</f>
        <v>54593.887999999999</v>
      </c>
    </row>
    <row r="253" spans="1:21">
      <c r="C253">
        <v>9569</v>
      </c>
      <c r="D253" t="s">
        <v>732</v>
      </c>
      <c r="E253">
        <v>189846</v>
      </c>
      <c r="F253">
        <v>188923</v>
      </c>
      <c r="G253">
        <v>2017</v>
      </c>
      <c r="H253">
        <v>11</v>
      </c>
      <c r="I253">
        <v>0</v>
      </c>
      <c r="J253" t="s">
        <v>30</v>
      </c>
      <c r="K253">
        <v>5</v>
      </c>
      <c r="L253">
        <f t="shared" si="137"/>
        <v>2022</v>
      </c>
      <c r="M253" s="27">
        <f t="shared" si="138"/>
        <v>2022.9166666666667</v>
      </c>
      <c r="N253" s="5">
        <v>1460.46</v>
      </c>
      <c r="O253" s="5">
        <f t="shared" si="139"/>
        <v>1460.46</v>
      </c>
      <c r="P253" s="5">
        <f t="shared" si="140"/>
        <v>24.340999999999998</v>
      </c>
      <c r="Q253" s="5">
        <f t="shared" si="141"/>
        <v>292.09199999999998</v>
      </c>
      <c r="R253" s="5">
        <f t="shared" si="142"/>
        <v>292.09199999999998</v>
      </c>
      <c r="S253" s="5">
        <f t="shared" si="136"/>
        <v>292.09199999999998</v>
      </c>
      <c r="T253" s="5">
        <f t="shared" si="143"/>
        <v>584.18399999999997</v>
      </c>
      <c r="U253" s="5">
        <f t="shared" si="144"/>
        <v>876.27600000000007</v>
      </c>
    </row>
    <row r="254" spans="1:21">
      <c r="A254" t="s">
        <v>161</v>
      </c>
      <c r="B254" t="s">
        <v>344</v>
      </c>
      <c r="C254">
        <v>9984</v>
      </c>
      <c r="D254" t="s">
        <v>473</v>
      </c>
      <c r="E254">
        <v>72658</v>
      </c>
      <c r="F254" t="s">
        <v>372</v>
      </c>
      <c r="G254">
        <v>2010</v>
      </c>
      <c r="H254">
        <v>1</v>
      </c>
      <c r="I254">
        <v>0</v>
      </c>
      <c r="J254" t="s">
        <v>30</v>
      </c>
      <c r="K254">
        <v>5</v>
      </c>
      <c r="L254">
        <f t="shared" si="137"/>
        <v>2015</v>
      </c>
      <c r="M254" s="27">
        <f t="shared" si="138"/>
        <v>2015.0833333333333</v>
      </c>
      <c r="N254" s="5">
        <f>'2180 Trucks - Orig.'!O232</f>
        <v>30854.431299999997</v>
      </c>
      <c r="O254" s="5">
        <f t="shared" si="139"/>
        <v>30854.431299999997</v>
      </c>
      <c r="P254" s="5">
        <f t="shared" si="140"/>
        <v>514.24052166666661</v>
      </c>
      <c r="Q254" s="5">
        <f t="shared" si="141"/>
        <v>6170.8862599999993</v>
      </c>
      <c r="R254" s="5">
        <f t="shared" si="142"/>
        <v>0</v>
      </c>
      <c r="S254" s="5">
        <f t="shared" si="136"/>
        <v>30854.431299999997</v>
      </c>
      <c r="T254" s="5">
        <f t="shared" si="143"/>
        <v>30854.431299999997</v>
      </c>
      <c r="U254" s="5">
        <f t="shared" si="144"/>
        <v>0</v>
      </c>
    </row>
    <row r="255" spans="1:21" s="24" customFormat="1">
      <c r="D255" s="24" t="s">
        <v>1008</v>
      </c>
      <c r="G255" s="24">
        <v>2018</v>
      </c>
      <c r="H255" s="24">
        <v>12</v>
      </c>
      <c r="I255" s="24">
        <v>0</v>
      </c>
      <c r="J255" s="24" t="s">
        <v>30</v>
      </c>
      <c r="K255" s="24">
        <f>+IF(L254-$O$3&gt;=3,L254-$O$3,3)</f>
        <v>3</v>
      </c>
      <c r="L255" s="24">
        <f t="shared" si="137"/>
        <v>2021</v>
      </c>
      <c r="M255" s="28">
        <f t="shared" si="138"/>
        <v>2022</v>
      </c>
      <c r="N255" s="25">
        <f>'2180 Trucks - Orig.'!N232-'2180 Trucks'!N254</f>
        <v>15196.958700000003</v>
      </c>
      <c r="O255" s="25">
        <f t="shared" si="139"/>
        <v>15196.958700000003</v>
      </c>
      <c r="P255" s="25">
        <f t="shared" si="140"/>
        <v>422.13774166666673</v>
      </c>
      <c r="Q255" s="25">
        <f t="shared" si="141"/>
        <v>5065.652900000001</v>
      </c>
      <c r="R255" s="25">
        <f t="shared" si="142"/>
        <v>5065.652900000001</v>
      </c>
      <c r="S255" s="25">
        <f t="shared" si="136"/>
        <v>0</v>
      </c>
      <c r="T255" s="25">
        <f t="shared" si="143"/>
        <v>5065.652900000001</v>
      </c>
      <c r="U255" s="25">
        <f t="shared" si="144"/>
        <v>10131.305800000002</v>
      </c>
    </row>
    <row r="256" spans="1:21">
      <c r="A256" t="s">
        <v>34</v>
      </c>
      <c r="B256" t="s">
        <v>344</v>
      </c>
      <c r="C256">
        <v>9981</v>
      </c>
      <c r="D256" t="s">
        <v>472</v>
      </c>
      <c r="G256">
        <v>2007</v>
      </c>
      <c r="H256">
        <v>7</v>
      </c>
      <c r="I256">
        <v>0</v>
      </c>
      <c r="J256" t="s">
        <v>30</v>
      </c>
      <c r="K256">
        <v>5</v>
      </c>
      <c r="L256">
        <f t="shared" si="137"/>
        <v>2012</v>
      </c>
      <c r="M256" s="27">
        <f t="shared" si="138"/>
        <v>2012.5833333333333</v>
      </c>
      <c r="N256" s="5">
        <f>'2180 Trucks - Orig.'!O230</f>
        <v>20046.400000000001</v>
      </c>
      <c r="O256" s="5">
        <f t="shared" si="139"/>
        <v>20046.400000000001</v>
      </c>
      <c r="P256" s="5">
        <f t="shared" si="140"/>
        <v>334.10666666666668</v>
      </c>
      <c r="Q256" s="5">
        <f t="shared" si="141"/>
        <v>4009.28</v>
      </c>
      <c r="R256" s="5">
        <f t="shared" si="142"/>
        <v>0</v>
      </c>
      <c r="S256" s="5">
        <f t="shared" si="136"/>
        <v>20046.400000000001</v>
      </c>
      <c r="T256" s="5">
        <f t="shared" si="143"/>
        <v>20046.400000000001</v>
      </c>
      <c r="U256" s="5">
        <f t="shared" si="144"/>
        <v>0</v>
      </c>
    </row>
    <row r="257" spans="1:21" s="24" customFormat="1">
      <c r="D257" s="24" t="s">
        <v>1006</v>
      </c>
      <c r="G257" s="24">
        <v>2018</v>
      </c>
      <c r="H257" s="24">
        <v>12</v>
      </c>
      <c r="I257" s="24">
        <v>0</v>
      </c>
      <c r="J257" s="24" t="s">
        <v>30</v>
      </c>
      <c r="K257" s="24">
        <f>+IF(L256-$O$3&gt;=3,L256-$O$3,3)</f>
        <v>3</v>
      </c>
      <c r="L257" s="24">
        <f t="shared" si="137"/>
        <v>2021</v>
      </c>
      <c r="M257" s="28">
        <f t="shared" si="138"/>
        <v>2022</v>
      </c>
      <c r="N257" s="25">
        <f>'2180 Trucks - Orig.'!N230-'2180 Trucks'!N256</f>
        <v>9873.5999999999985</v>
      </c>
      <c r="O257" s="25">
        <f t="shared" si="139"/>
        <v>9873.5999999999985</v>
      </c>
      <c r="P257" s="25">
        <f t="shared" si="140"/>
        <v>274.26666666666659</v>
      </c>
      <c r="Q257" s="25">
        <f t="shared" si="141"/>
        <v>3291.1999999999989</v>
      </c>
      <c r="R257" s="25">
        <f t="shared" si="142"/>
        <v>3291.1999999999989</v>
      </c>
      <c r="S257" s="25">
        <f t="shared" si="136"/>
        <v>0</v>
      </c>
      <c r="T257" s="25">
        <f t="shared" si="143"/>
        <v>3291.1999999999989</v>
      </c>
      <c r="U257" s="25">
        <f t="shared" si="144"/>
        <v>6582.4</v>
      </c>
    </row>
    <row r="258" spans="1:21">
      <c r="N258" s="5"/>
      <c r="O258" s="5"/>
      <c r="P258" s="5"/>
      <c r="Q258" s="5"/>
      <c r="R258" s="5"/>
      <c r="S258" s="5"/>
      <c r="T258" s="5"/>
      <c r="U258" s="5"/>
    </row>
    <row r="259" spans="1:21">
      <c r="N259" s="5"/>
      <c r="O259" s="5"/>
      <c r="P259" s="5"/>
      <c r="Q259" s="5"/>
      <c r="R259" s="5"/>
      <c r="S259" s="5"/>
      <c r="T259" s="5"/>
      <c r="U259" s="5"/>
    </row>
    <row r="260" spans="1:21">
      <c r="N260" s="5"/>
      <c r="O260" s="5"/>
      <c r="P260" s="5"/>
      <c r="Q260" s="5"/>
      <c r="R260" s="5"/>
      <c r="S260" s="5"/>
      <c r="T260" s="5"/>
      <c r="U260" s="5"/>
    </row>
    <row r="261" spans="1:21">
      <c r="L261" s="6" t="s">
        <v>784</v>
      </c>
      <c r="N261" s="9">
        <f>SUM(N252:N260)</f>
        <v>145674.21000000002</v>
      </c>
      <c r="O261" s="9">
        <f t="shared" ref="O261:U261" si="145">SUM(O252:O260)</f>
        <v>145674.21000000002</v>
      </c>
      <c r="P261" s="9">
        <f t="shared" si="145"/>
        <v>2137.7789299999999</v>
      </c>
      <c r="Q261" s="9">
        <f t="shared" si="145"/>
        <v>25653.347159999998</v>
      </c>
      <c r="R261" s="9">
        <f t="shared" si="145"/>
        <v>15473.180899999999</v>
      </c>
      <c r="S261" s="9">
        <f t="shared" si="145"/>
        <v>58017.159299999999</v>
      </c>
      <c r="T261" s="9">
        <f t="shared" si="145"/>
        <v>73490.340199999991</v>
      </c>
      <c r="U261" s="9">
        <f t="shared" si="145"/>
        <v>72183.869799999986</v>
      </c>
    </row>
    <row r="262" spans="1:21">
      <c r="N262" s="5"/>
      <c r="O262" s="5"/>
      <c r="P262" s="5"/>
      <c r="Q262" s="5"/>
      <c r="R262" s="5"/>
      <c r="S262" s="5"/>
      <c r="T262" s="5"/>
      <c r="U262" s="5"/>
    </row>
    <row r="263" spans="1:21">
      <c r="N263" s="5"/>
      <c r="O263" s="5"/>
      <c r="P263" s="5"/>
      <c r="Q263" s="5"/>
      <c r="R263" s="5"/>
      <c r="S263" s="5"/>
      <c r="T263" s="5"/>
      <c r="U263" s="5"/>
    </row>
    <row r="264" spans="1:21">
      <c r="B264" s="4" t="s">
        <v>1158</v>
      </c>
      <c r="N264" s="5"/>
      <c r="O264" s="5"/>
      <c r="P264" s="5"/>
      <c r="Q264" s="5"/>
      <c r="R264" s="5"/>
      <c r="S264" s="5"/>
      <c r="T264" s="5"/>
      <c r="U264" s="5"/>
    </row>
    <row r="265" spans="1:21">
      <c r="A265" t="s">
        <v>36</v>
      </c>
      <c r="B265" t="s">
        <v>341</v>
      </c>
      <c r="C265">
        <v>1026</v>
      </c>
      <c r="D265" t="s">
        <v>479</v>
      </c>
      <c r="G265">
        <v>2000</v>
      </c>
      <c r="H265">
        <v>3</v>
      </c>
      <c r="I265">
        <v>0.2</v>
      </c>
      <c r="J265" t="s">
        <v>30</v>
      </c>
      <c r="K265">
        <v>7</v>
      </c>
      <c r="L265">
        <f t="shared" ref="L265:L275" si="146">G265+K265</f>
        <v>2007</v>
      </c>
      <c r="M265" s="27">
        <f t="shared" ref="M265:M275" si="147">+L265+(H265/12)</f>
        <v>2007.25</v>
      </c>
      <c r="N265" s="5">
        <f>60270.4+34695.24+3252</f>
        <v>98217.64</v>
      </c>
      <c r="O265" s="5">
        <f t="shared" ref="O265:O275" si="148">N265-N265*I265</f>
        <v>78574.111999999994</v>
      </c>
      <c r="P265" s="5">
        <f t="shared" ref="P265:P275" si="149">O265/K265/12</f>
        <v>935.40609523809519</v>
      </c>
      <c r="Q265" s="5">
        <f t="shared" ref="Q265:Q275" si="150">P265*12</f>
        <v>11224.873142857143</v>
      </c>
      <c r="R265" s="5">
        <f>+IF(M265&lt;=$O$5,0,IF(L265&gt;$O$4,Q265,(P265*H265)))</f>
        <v>0</v>
      </c>
      <c r="S265" s="5">
        <f>+IF(R265=0,N265,IF($O$3-G265&lt;1,0,(($O$3-G265)*Q265)))</f>
        <v>98217.64</v>
      </c>
      <c r="T265" s="5">
        <f>+IF(R265=0,S265,S265+R265)</f>
        <v>98217.64</v>
      </c>
      <c r="U265" s="5">
        <f t="shared" ref="U265:U275" si="151">+N265-T265</f>
        <v>0</v>
      </c>
    </row>
    <row r="266" spans="1:21">
      <c r="A266" t="s">
        <v>36</v>
      </c>
      <c r="B266" t="s">
        <v>353</v>
      </c>
      <c r="C266">
        <v>7030</v>
      </c>
      <c r="D266" t="s">
        <v>170</v>
      </c>
      <c r="G266">
        <v>2005</v>
      </c>
      <c r="H266">
        <v>9</v>
      </c>
      <c r="I266">
        <v>0.33</v>
      </c>
      <c r="J266" t="s">
        <v>30</v>
      </c>
      <c r="K266">
        <v>5</v>
      </c>
      <c r="L266">
        <f t="shared" si="146"/>
        <v>2010</v>
      </c>
      <c r="M266" s="27">
        <f t="shared" si="147"/>
        <v>2010.75</v>
      </c>
      <c r="N266" s="5">
        <v>7616</v>
      </c>
      <c r="O266" s="5">
        <f t="shared" si="148"/>
        <v>5102.7199999999993</v>
      </c>
      <c r="P266" s="5">
        <f t="shared" si="149"/>
        <v>85.045333333333318</v>
      </c>
      <c r="Q266" s="5">
        <f t="shared" si="150"/>
        <v>1020.5439999999999</v>
      </c>
      <c r="R266" s="5">
        <f t="shared" ref="R266:R275" si="152">+IF(M266&lt;=$O$5,0,IF(L266&gt;$O$4,Q266,(P266*H266)))</f>
        <v>0</v>
      </c>
      <c r="S266" s="5">
        <f t="shared" ref="S266:S275" si="153">+IF(R266=0,N266,IF($O$3-G266&lt;1,0,(($O$3-G266)*Q266)))</f>
        <v>7616</v>
      </c>
      <c r="T266" s="5">
        <f t="shared" ref="T266:T275" si="154">+IF(R266=0,S266,S266+R266)</f>
        <v>7616</v>
      </c>
      <c r="U266" s="5">
        <f t="shared" si="151"/>
        <v>0</v>
      </c>
    </row>
    <row r="267" spans="1:21">
      <c r="A267" t="s">
        <v>34</v>
      </c>
      <c r="B267" t="s">
        <v>353</v>
      </c>
      <c r="C267">
        <v>7030</v>
      </c>
      <c r="D267" t="s">
        <v>483</v>
      </c>
      <c r="G267">
        <v>2006</v>
      </c>
      <c r="H267">
        <v>12</v>
      </c>
      <c r="I267">
        <v>0</v>
      </c>
      <c r="J267" t="s">
        <v>30</v>
      </c>
      <c r="K267">
        <v>7</v>
      </c>
      <c r="L267">
        <f>G267+K267</f>
        <v>2013</v>
      </c>
      <c r="M267" s="27">
        <f>+L267+(H267/12)</f>
        <v>2014</v>
      </c>
      <c r="N267" s="5">
        <f>'2180 Trucks - Orig.'!O229</f>
        <v>13926.4</v>
      </c>
      <c r="O267" s="5">
        <f>N267-N267*I267</f>
        <v>13926.4</v>
      </c>
      <c r="P267" s="5">
        <f>O267/K267/12</f>
        <v>165.7904761904762</v>
      </c>
      <c r="Q267" s="5">
        <f>P267*12</f>
        <v>1989.4857142857145</v>
      </c>
      <c r="R267" s="5">
        <f>+IF(M267&lt;=$O$5,0,IF(L267&gt;$O$4,Q267,(P267*H267)))</f>
        <v>0</v>
      </c>
      <c r="S267" s="5">
        <f>+IF(R267=0,N267,IF($O$3-G267&lt;1,0,(($O$3-G267)*Q267)))</f>
        <v>13926.4</v>
      </c>
      <c r="T267" s="5">
        <f>+IF(R267=0,S267,S267+R267)</f>
        <v>13926.4</v>
      </c>
      <c r="U267" s="5">
        <f>+N267-T267</f>
        <v>0</v>
      </c>
    </row>
    <row r="268" spans="1:21" s="26" customFormat="1">
      <c r="A268" s="24"/>
      <c r="B268" s="24"/>
      <c r="C268" s="24"/>
      <c r="D268" s="24" t="s">
        <v>1005</v>
      </c>
      <c r="E268" s="24"/>
      <c r="F268" s="24"/>
      <c r="G268" s="24">
        <v>2018</v>
      </c>
      <c r="H268" s="24">
        <v>12</v>
      </c>
      <c r="I268" s="24">
        <v>0</v>
      </c>
      <c r="J268" s="24" t="s">
        <v>30</v>
      </c>
      <c r="K268" s="24">
        <f>+IF(L267-$O$3&gt;=3,L267-$O$3,3)</f>
        <v>3</v>
      </c>
      <c r="L268" s="29">
        <f>G268+K268</f>
        <v>2021</v>
      </c>
      <c r="M268" s="28">
        <f>+L268+(H268/12)</f>
        <v>2022</v>
      </c>
      <c r="N268" s="25">
        <f>'2180 Trucks - Orig.'!N229-'2180 Trucks'!N267</f>
        <v>3481.6000000000004</v>
      </c>
      <c r="O268" s="25">
        <f>N268-N268*I268</f>
        <v>3481.6000000000004</v>
      </c>
      <c r="P268" s="25">
        <f>O268/K268/12</f>
        <v>96.711111111111123</v>
      </c>
      <c r="Q268" s="25">
        <f>P268*12</f>
        <v>1160.5333333333335</v>
      </c>
      <c r="R268" s="25">
        <f>+IF(M268&lt;=$O$5,0,IF(L268&gt;$O$4,Q268,(P268*H268)))</f>
        <v>1160.5333333333335</v>
      </c>
      <c r="S268" s="25">
        <f>+IF(R268=0,N268,IF($O$3-G268&lt;1,0,(($O$3-G268)*Q268)))</f>
        <v>0</v>
      </c>
      <c r="T268" s="25">
        <f>+IF(R268=0,S268,S268+R268)</f>
        <v>1160.5333333333335</v>
      </c>
      <c r="U268" s="25">
        <f>+N268-T268</f>
        <v>2321.0666666666666</v>
      </c>
    </row>
    <row r="269" spans="1:21">
      <c r="A269" t="s">
        <v>36</v>
      </c>
      <c r="B269" t="s">
        <v>341</v>
      </c>
      <c r="C269">
        <v>1055</v>
      </c>
      <c r="D269" t="s">
        <v>57</v>
      </c>
      <c r="G269">
        <v>2007</v>
      </c>
      <c r="H269">
        <v>7</v>
      </c>
      <c r="I269">
        <v>0.2</v>
      </c>
      <c r="J269" t="s">
        <v>30</v>
      </c>
      <c r="K269">
        <v>7</v>
      </c>
      <c r="L269">
        <f t="shared" si="146"/>
        <v>2014</v>
      </c>
      <c r="M269" s="27">
        <f t="shared" si="147"/>
        <v>2014.5833333333333</v>
      </c>
      <c r="N269" s="5">
        <v>127343.72</v>
      </c>
      <c r="O269" s="5">
        <f t="shared" si="148"/>
        <v>101874.976</v>
      </c>
      <c r="P269" s="5">
        <f t="shared" si="149"/>
        <v>1212.7973333333332</v>
      </c>
      <c r="Q269" s="5">
        <f t="shared" si="150"/>
        <v>14553.567999999999</v>
      </c>
      <c r="R269" s="5">
        <f t="shared" si="152"/>
        <v>0</v>
      </c>
      <c r="S269" s="5">
        <f t="shared" si="153"/>
        <v>127343.72</v>
      </c>
      <c r="T269" s="5">
        <f t="shared" si="154"/>
        <v>127343.72</v>
      </c>
      <c r="U269" s="5">
        <f t="shared" si="151"/>
        <v>0</v>
      </c>
    </row>
    <row r="270" spans="1:21" s="1" customFormat="1">
      <c r="B270" s="1" t="s">
        <v>341</v>
      </c>
      <c r="C270" s="1">
        <v>1075</v>
      </c>
      <c r="D270" s="1" t="s">
        <v>860</v>
      </c>
      <c r="E270" s="1">
        <v>180930</v>
      </c>
      <c r="G270" s="1">
        <v>2011</v>
      </c>
      <c r="H270" s="1">
        <v>8</v>
      </c>
      <c r="I270" s="1">
        <v>0</v>
      </c>
      <c r="J270" s="1" t="s">
        <v>30</v>
      </c>
      <c r="K270" s="1">
        <v>10</v>
      </c>
      <c r="L270" s="1">
        <f>G270+K270</f>
        <v>2021</v>
      </c>
      <c r="M270" s="27">
        <f t="shared" si="147"/>
        <v>2021.6666666666667</v>
      </c>
      <c r="N270" s="5">
        <f>'2180 Trucks - Orig.'!O248</f>
        <v>28134.68</v>
      </c>
      <c r="O270" s="5">
        <f t="shared" si="148"/>
        <v>28134.68</v>
      </c>
      <c r="P270" s="5">
        <f t="shared" si="149"/>
        <v>234.45566666666664</v>
      </c>
      <c r="Q270" s="5">
        <f t="shared" si="150"/>
        <v>2813.4679999999998</v>
      </c>
      <c r="R270" s="5">
        <f t="shared" si="152"/>
        <v>2813.4679999999998</v>
      </c>
      <c r="S270" s="5">
        <f t="shared" si="153"/>
        <v>19694.275999999998</v>
      </c>
      <c r="T270" s="5">
        <f t="shared" si="154"/>
        <v>22507.743999999999</v>
      </c>
      <c r="U270" s="5">
        <f t="shared" si="151"/>
        <v>5626.9360000000015</v>
      </c>
    </row>
    <row r="271" spans="1:21" s="26" customFormat="1">
      <c r="A271" s="24"/>
      <c r="B271" s="24"/>
      <c r="C271" s="24"/>
      <c r="D271" s="24" t="s">
        <v>1009</v>
      </c>
      <c r="E271" s="24"/>
      <c r="F271" s="24"/>
      <c r="G271" s="24">
        <v>2018</v>
      </c>
      <c r="H271" s="24">
        <v>12</v>
      </c>
      <c r="I271" s="24">
        <v>0</v>
      </c>
      <c r="J271" s="24" t="s">
        <v>30</v>
      </c>
      <c r="K271" s="24">
        <f>+IF(L270-$O$3&gt;=3,L270-$O$3,3)</f>
        <v>3</v>
      </c>
      <c r="L271" s="29">
        <f>G271+K271</f>
        <v>2021</v>
      </c>
      <c r="M271" s="28">
        <f>+L271+(H271/12)</f>
        <v>2022</v>
      </c>
      <c r="N271" s="25">
        <f>'2180 Trucks - Orig.'!N248-'2180 Trucks'!N270</f>
        <v>0</v>
      </c>
      <c r="O271" s="25">
        <f>N271-N271*I271</f>
        <v>0</v>
      </c>
      <c r="P271" s="25">
        <f>O271/K271/12</f>
        <v>0</v>
      </c>
      <c r="Q271" s="25">
        <f>P271*12</f>
        <v>0</v>
      </c>
      <c r="R271" s="25">
        <f t="shared" si="152"/>
        <v>0</v>
      </c>
      <c r="S271" s="25">
        <f t="shared" si="153"/>
        <v>0</v>
      </c>
      <c r="T271" s="25">
        <f t="shared" si="154"/>
        <v>0</v>
      </c>
      <c r="U271" s="25">
        <f t="shared" si="151"/>
        <v>0</v>
      </c>
    </row>
    <row r="272" spans="1:21">
      <c r="A272" t="s">
        <v>606</v>
      </c>
      <c r="B272" t="s">
        <v>607</v>
      </c>
      <c r="C272">
        <v>7035</v>
      </c>
      <c r="D272" t="s">
        <v>608</v>
      </c>
      <c r="E272">
        <v>87092</v>
      </c>
      <c r="G272">
        <v>2011</v>
      </c>
      <c r="H272">
        <v>9</v>
      </c>
      <c r="I272">
        <v>0.33</v>
      </c>
      <c r="J272" t="s">
        <v>30</v>
      </c>
      <c r="K272">
        <v>6</v>
      </c>
      <c r="L272">
        <f t="shared" si="146"/>
        <v>2017</v>
      </c>
      <c r="M272" s="27">
        <f t="shared" si="147"/>
        <v>2017.75</v>
      </c>
      <c r="N272" s="5">
        <v>6230.1</v>
      </c>
      <c r="O272" s="5">
        <f t="shared" si="148"/>
        <v>4174.1670000000004</v>
      </c>
      <c r="P272" s="5">
        <f t="shared" si="149"/>
        <v>57.974541666666674</v>
      </c>
      <c r="Q272" s="5">
        <f t="shared" si="150"/>
        <v>695.69450000000006</v>
      </c>
      <c r="R272" s="5">
        <f t="shared" si="152"/>
        <v>0</v>
      </c>
      <c r="S272" s="5">
        <f t="shared" si="153"/>
        <v>6230.1</v>
      </c>
      <c r="T272" s="5">
        <f t="shared" si="154"/>
        <v>6230.1</v>
      </c>
      <c r="U272" s="5">
        <f t="shared" si="151"/>
        <v>0</v>
      </c>
    </row>
    <row r="273" spans="1:21">
      <c r="D273" t="s">
        <v>650</v>
      </c>
      <c r="E273">
        <v>100113</v>
      </c>
      <c r="G273">
        <v>2012</v>
      </c>
      <c r="H273">
        <v>12</v>
      </c>
      <c r="I273">
        <v>0</v>
      </c>
      <c r="J273" t="s">
        <v>30</v>
      </c>
      <c r="K273">
        <v>5</v>
      </c>
      <c r="L273">
        <f t="shared" si="146"/>
        <v>2017</v>
      </c>
      <c r="M273" s="27">
        <f t="shared" si="147"/>
        <v>2018</v>
      </c>
      <c r="N273" s="5">
        <v>16556</v>
      </c>
      <c r="O273" s="5">
        <f t="shared" si="148"/>
        <v>16556</v>
      </c>
      <c r="P273" s="5">
        <f t="shared" si="149"/>
        <v>275.93333333333334</v>
      </c>
      <c r="Q273" s="5">
        <f t="shared" si="150"/>
        <v>3311.2</v>
      </c>
      <c r="R273" s="5">
        <f t="shared" si="152"/>
        <v>0</v>
      </c>
      <c r="S273" s="5">
        <f t="shared" si="153"/>
        <v>16556</v>
      </c>
      <c r="T273" s="5">
        <f t="shared" si="154"/>
        <v>16556</v>
      </c>
      <c r="U273" s="5">
        <f t="shared" si="151"/>
        <v>0</v>
      </c>
    </row>
    <row r="274" spans="1:21">
      <c r="D274" t="s">
        <v>738</v>
      </c>
      <c r="E274">
        <v>118545</v>
      </c>
      <c r="G274">
        <v>2014</v>
      </c>
      <c r="H274">
        <v>11</v>
      </c>
      <c r="I274">
        <v>0</v>
      </c>
      <c r="J274" t="s">
        <v>30</v>
      </c>
      <c r="K274">
        <v>3</v>
      </c>
      <c r="L274">
        <f t="shared" si="146"/>
        <v>2017</v>
      </c>
      <c r="M274" s="27">
        <f t="shared" si="147"/>
        <v>2017.9166666666667</v>
      </c>
      <c r="N274" s="5">
        <v>3066</v>
      </c>
      <c r="O274" s="5">
        <f t="shared" si="148"/>
        <v>3066</v>
      </c>
      <c r="P274" s="5">
        <f t="shared" si="149"/>
        <v>85.166666666666671</v>
      </c>
      <c r="Q274" s="5">
        <f t="shared" si="150"/>
        <v>1022</v>
      </c>
      <c r="R274" s="5">
        <f t="shared" si="152"/>
        <v>0</v>
      </c>
      <c r="S274" s="5">
        <f t="shared" si="153"/>
        <v>3066</v>
      </c>
      <c r="T274" s="5">
        <f t="shared" si="154"/>
        <v>3066</v>
      </c>
      <c r="U274" s="5">
        <f t="shared" si="151"/>
        <v>0</v>
      </c>
    </row>
    <row r="275" spans="1:21">
      <c r="A275" t="s">
        <v>36</v>
      </c>
      <c r="C275">
        <v>1055</v>
      </c>
      <c r="D275" t="s">
        <v>737</v>
      </c>
      <c r="E275">
        <v>115960</v>
      </c>
      <c r="F275">
        <v>60775</v>
      </c>
      <c r="G275">
        <v>2014</v>
      </c>
      <c r="H275">
        <v>6</v>
      </c>
      <c r="I275">
        <v>0</v>
      </c>
      <c r="J275" t="s">
        <v>30</v>
      </c>
      <c r="K275">
        <v>3</v>
      </c>
      <c r="L275">
        <f t="shared" si="146"/>
        <v>2017</v>
      </c>
      <c r="M275" s="27">
        <f t="shared" si="147"/>
        <v>2017.5</v>
      </c>
      <c r="N275" s="5">
        <v>26931.15</v>
      </c>
      <c r="O275" s="5">
        <f t="shared" si="148"/>
        <v>26931.15</v>
      </c>
      <c r="P275" s="5">
        <f t="shared" si="149"/>
        <v>748.08750000000009</v>
      </c>
      <c r="Q275" s="5">
        <f t="shared" si="150"/>
        <v>8977.0500000000011</v>
      </c>
      <c r="R275" s="5">
        <f t="shared" si="152"/>
        <v>0</v>
      </c>
      <c r="S275" s="5">
        <f t="shared" si="153"/>
        <v>26931.15</v>
      </c>
      <c r="T275" s="5">
        <f t="shared" si="154"/>
        <v>26931.15</v>
      </c>
      <c r="U275" s="5">
        <f t="shared" si="151"/>
        <v>0</v>
      </c>
    </row>
    <row r="276" spans="1:21">
      <c r="A276" t="s">
        <v>776</v>
      </c>
      <c r="B276" t="s">
        <v>623</v>
      </c>
      <c r="C276">
        <v>2048</v>
      </c>
      <c r="D276" t="s">
        <v>865</v>
      </c>
      <c r="E276" t="s">
        <v>892</v>
      </c>
      <c r="G276">
        <v>2017</v>
      </c>
      <c r="H276">
        <v>9</v>
      </c>
      <c r="I276">
        <v>0</v>
      </c>
      <c r="J276" t="s">
        <v>30</v>
      </c>
      <c r="K276">
        <v>10</v>
      </c>
      <c r="L276">
        <f>G276+K276</f>
        <v>2027</v>
      </c>
      <c r="M276" s="27">
        <f>+L276+(H276/12)</f>
        <v>2027.75</v>
      </c>
      <c r="N276" s="5">
        <v>317746.40000000002</v>
      </c>
      <c r="O276" s="5">
        <f>N276-N276*I276</f>
        <v>317746.40000000002</v>
      </c>
      <c r="P276" s="5">
        <f>O276/K276/12</f>
        <v>2647.8866666666668</v>
      </c>
      <c r="Q276" s="5">
        <f>P276*12</f>
        <v>31774.639999999999</v>
      </c>
      <c r="R276" s="5">
        <f>+IF(M276&lt;=$O$5,0,IF(L276&gt;$O$4,Q276,(P276*H276)))</f>
        <v>31774.639999999999</v>
      </c>
      <c r="S276" s="5">
        <f>+IF(R276=0,N276,IF($O$3-G276&lt;1,0,(($O$3-G276)*Q276)))</f>
        <v>31774.639999999999</v>
      </c>
      <c r="T276" s="5">
        <f>+IF(R276=0,S276,S276+R276)</f>
        <v>63549.279999999999</v>
      </c>
      <c r="U276" s="5">
        <f>+N276-T276</f>
        <v>254197.12000000002</v>
      </c>
    </row>
    <row r="277" spans="1:21">
      <c r="N277" s="5"/>
      <c r="O277" s="5"/>
      <c r="P277" s="5"/>
      <c r="Q277" s="5"/>
      <c r="R277" s="5"/>
      <c r="S277" s="5"/>
      <c r="T277" s="5"/>
      <c r="U277" s="5"/>
    </row>
    <row r="278" spans="1:21">
      <c r="L278" s="6" t="s">
        <v>785</v>
      </c>
      <c r="N278" s="9">
        <f t="shared" ref="N278:U278" si="155">SUM(N265:N277)</f>
        <v>649249.68999999994</v>
      </c>
      <c r="O278" s="9">
        <f t="shared" si="155"/>
        <v>599568.20500000007</v>
      </c>
      <c r="P278" s="9">
        <f t="shared" si="155"/>
        <v>6545.2547242063492</v>
      </c>
      <c r="Q278" s="9">
        <f t="shared" si="155"/>
        <v>78543.056690476194</v>
      </c>
      <c r="R278" s="9">
        <f t="shared" si="155"/>
        <v>35748.641333333333</v>
      </c>
      <c r="S278" s="9">
        <f t="shared" si="155"/>
        <v>351355.92600000004</v>
      </c>
      <c r="T278" s="9">
        <f t="shared" si="155"/>
        <v>387104.56733333331</v>
      </c>
      <c r="U278" s="9">
        <f t="shared" si="155"/>
        <v>262145.12266666669</v>
      </c>
    </row>
    <row r="279" spans="1:21">
      <c r="N279" s="5"/>
      <c r="O279" s="5"/>
      <c r="P279" s="5"/>
      <c r="Q279" s="5"/>
      <c r="R279" s="5"/>
      <c r="S279" s="5"/>
      <c r="T279" s="5"/>
      <c r="U279" s="5"/>
    </row>
    <row r="280" spans="1:21">
      <c r="B280" s="4" t="s">
        <v>1141</v>
      </c>
      <c r="N280" s="5"/>
      <c r="O280" s="5"/>
      <c r="P280" s="5"/>
      <c r="Q280" s="5"/>
      <c r="R280" s="5"/>
      <c r="S280" s="5"/>
      <c r="T280" s="5"/>
      <c r="U280" s="5"/>
    </row>
    <row r="281" spans="1:21">
      <c r="B281" t="s">
        <v>536</v>
      </c>
      <c r="C281">
        <v>5559</v>
      </c>
      <c r="D281" t="s">
        <v>539</v>
      </c>
      <c r="E281">
        <v>86830</v>
      </c>
      <c r="G281">
        <v>1998</v>
      </c>
      <c r="H281">
        <v>8</v>
      </c>
      <c r="I281">
        <v>0.2</v>
      </c>
      <c r="J281" t="s">
        <v>30</v>
      </c>
      <c r="K281">
        <v>7</v>
      </c>
      <c r="L281">
        <f t="shared" ref="L281:L286" si="156">G281+K281</f>
        <v>2005</v>
      </c>
      <c r="M281" s="27">
        <f t="shared" ref="M281:M286" si="157">+L281+(H281/12)</f>
        <v>2005.6666666666667</v>
      </c>
      <c r="N281" s="5">
        <f>21713.04+7916.49+1571.09</f>
        <v>31200.62</v>
      </c>
      <c r="O281" s="5">
        <f t="shared" ref="O281:O286" si="158">N281-N281*I281</f>
        <v>24960.495999999999</v>
      </c>
      <c r="P281" s="5">
        <f t="shared" ref="P281:P286" si="159">O281/K281/12</f>
        <v>297.1487619047619</v>
      </c>
      <c r="Q281" s="5">
        <f t="shared" ref="Q281:Q286" si="160">P281*12</f>
        <v>3565.785142857143</v>
      </c>
      <c r="R281" s="5">
        <f t="shared" ref="R281:R286" si="161">+IF(M281&lt;=$O$5,0,IF(L281&gt;$O$4,Q281,(P281*H281)))</f>
        <v>0</v>
      </c>
      <c r="S281" s="5">
        <f t="shared" ref="S281:S286" si="162">+IF(R281=0,N281,IF($O$3-G281&lt;1,0,(($O$3-G281)*Q281)))</f>
        <v>31200.62</v>
      </c>
      <c r="T281" s="5">
        <f t="shared" ref="T281:T286" si="163">+IF(R281=0,S281,S281+R281)</f>
        <v>31200.62</v>
      </c>
      <c r="U281" s="5">
        <f t="shared" ref="U281:U286" si="164">+N281-T281</f>
        <v>0</v>
      </c>
    </row>
    <row r="282" spans="1:21">
      <c r="B282" t="s">
        <v>353</v>
      </c>
      <c r="C282">
        <v>7407</v>
      </c>
      <c r="D282" t="s">
        <v>547</v>
      </c>
      <c r="G282">
        <v>2002</v>
      </c>
      <c r="H282">
        <v>3</v>
      </c>
      <c r="I282">
        <v>0.33</v>
      </c>
      <c r="J282" t="s">
        <v>30</v>
      </c>
      <c r="K282">
        <v>5</v>
      </c>
      <c r="L282">
        <f t="shared" si="156"/>
        <v>2007</v>
      </c>
      <c r="M282" s="27">
        <f t="shared" si="157"/>
        <v>2007.25</v>
      </c>
      <c r="N282" s="5">
        <v>10645.52</v>
      </c>
      <c r="O282" s="5">
        <f t="shared" si="158"/>
        <v>7132.4984000000004</v>
      </c>
      <c r="P282" s="5">
        <f t="shared" si="159"/>
        <v>118.87497333333334</v>
      </c>
      <c r="Q282" s="5">
        <f t="shared" si="160"/>
        <v>1426.4996800000001</v>
      </c>
      <c r="R282" s="5">
        <f t="shared" si="161"/>
        <v>0</v>
      </c>
      <c r="S282" s="5">
        <f t="shared" si="162"/>
        <v>10645.52</v>
      </c>
      <c r="T282" s="5">
        <f t="shared" si="163"/>
        <v>10645.52</v>
      </c>
      <c r="U282" s="5">
        <f t="shared" si="164"/>
        <v>0</v>
      </c>
    </row>
    <row r="283" spans="1:21">
      <c r="B283" t="s">
        <v>551</v>
      </c>
      <c r="C283">
        <v>9960</v>
      </c>
      <c r="D283" t="s">
        <v>552</v>
      </c>
      <c r="G283">
        <v>2006</v>
      </c>
      <c r="H283">
        <v>6</v>
      </c>
      <c r="I283">
        <v>0.33</v>
      </c>
      <c r="J283" t="s">
        <v>30</v>
      </c>
      <c r="K283">
        <v>5</v>
      </c>
      <c r="L283">
        <f t="shared" si="156"/>
        <v>2011</v>
      </c>
      <c r="M283" s="27">
        <f t="shared" si="157"/>
        <v>2011.5</v>
      </c>
      <c r="N283" s="5">
        <v>12512</v>
      </c>
      <c r="O283" s="5">
        <f t="shared" si="158"/>
        <v>8383.0400000000009</v>
      </c>
      <c r="P283" s="5">
        <f t="shared" si="159"/>
        <v>139.71733333333336</v>
      </c>
      <c r="Q283" s="5">
        <f t="shared" si="160"/>
        <v>1676.6080000000002</v>
      </c>
      <c r="R283" s="5">
        <f t="shared" si="161"/>
        <v>0</v>
      </c>
      <c r="S283" s="5">
        <f t="shared" si="162"/>
        <v>12512</v>
      </c>
      <c r="T283" s="5">
        <f t="shared" si="163"/>
        <v>12512</v>
      </c>
      <c r="U283" s="5">
        <f t="shared" si="164"/>
        <v>0</v>
      </c>
    </row>
    <row r="284" spans="1:21">
      <c r="B284" t="s">
        <v>353</v>
      </c>
      <c r="C284">
        <v>7407</v>
      </c>
      <c r="D284" t="s">
        <v>548</v>
      </c>
      <c r="G284">
        <v>2009</v>
      </c>
      <c r="H284">
        <v>5</v>
      </c>
      <c r="I284">
        <v>0</v>
      </c>
      <c r="J284" t="s">
        <v>30</v>
      </c>
      <c r="K284">
        <v>3</v>
      </c>
      <c r="L284">
        <f t="shared" si="156"/>
        <v>2012</v>
      </c>
      <c r="M284" s="27">
        <f t="shared" si="157"/>
        <v>2012.4166666666667</v>
      </c>
      <c r="N284" s="5">
        <v>10496.91</v>
      </c>
      <c r="O284" s="5">
        <f t="shared" si="158"/>
        <v>10496.91</v>
      </c>
      <c r="P284" s="5">
        <f t="shared" si="159"/>
        <v>291.58083333333332</v>
      </c>
      <c r="Q284" s="5">
        <f t="shared" si="160"/>
        <v>3498.97</v>
      </c>
      <c r="R284" s="5">
        <f t="shared" si="161"/>
        <v>0</v>
      </c>
      <c r="S284" s="5">
        <f t="shared" si="162"/>
        <v>10496.91</v>
      </c>
      <c r="T284" s="5">
        <f t="shared" si="163"/>
        <v>10496.91</v>
      </c>
      <c r="U284" s="5">
        <f t="shared" si="164"/>
        <v>0</v>
      </c>
    </row>
    <row r="285" spans="1:21">
      <c r="B285" t="s">
        <v>353</v>
      </c>
      <c r="C285">
        <v>7411</v>
      </c>
      <c r="D285" t="s">
        <v>553</v>
      </c>
      <c r="E285" t="s">
        <v>554</v>
      </c>
      <c r="F285">
        <v>79747</v>
      </c>
      <c r="G285">
        <v>2010</v>
      </c>
      <c r="H285">
        <v>12</v>
      </c>
      <c r="I285">
        <v>0.2</v>
      </c>
      <c r="J285" t="s">
        <v>30</v>
      </c>
      <c r="K285">
        <v>7</v>
      </c>
      <c r="L285">
        <f t="shared" si="156"/>
        <v>2017</v>
      </c>
      <c r="M285" s="27">
        <f t="shared" si="157"/>
        <v>2018</v>
      </c>
      <c r="N285" s="5">
        <v>169415</v>
      </c>
      <c r="O285" s="5">
        <f t="shared" si="158"/>
        <v>135532</v>
      </c>
      <c r="P285" s="5">
        <f t="shared" si="159"/>
        <v>1613.4761904761906</v>
      </c>
      <c r="Q285" s="5">
        <f t="shared" si="160"/>
        <v>19361.714285714286</v>
      </c>
      <c r="R285" s="5">
        <f t="shared" si="161"/>
        <v>0</v>
      </c>
      <c r="S285" s="5">
        <f t="shared" si="162"/>
        <v>169415</v>
      </c>
      <c r="T285" s="5">
        <f t="shared" si="163"/>
        <v>169415</v>
      </c>
      <c r="U285" s="5">
        <f t="shared" si="164"/>
        <v>0</v>
      </c>
    </row>
    <row r="286" spans="1:21">
      <c r="B286" t="s">
        <v>353</v>
      </c>
      <c r="C286">
        <v>7366</v>
      </c>
      <c r="D286" t="s">
        <v>796</v>
      </c>
      <c r="E286">
        <v>125040</v>
      </c>
      <c r="G286">
        <v>2015</v>
      </c>
      <c r="H286">
        <v>7</v>
      </c>
      <c r="I286">
        <v>0</v>
      </c>
      <c r="J286" t="s">
        <v>30</v>
      </c>
      <c r="K286">
        <v>5</v>
      </c>
      <c r="L286">
        <f t="shared" si="156"/>
        <v>2020</v>
      </c>
      <c r="M286" s="27">
        <f t="shared" si="157"/>
        <v>2020.5833333333333</v>
      </c>
      <c r="N286" s="5">
        <v>25833</v>
      </c>
      <c r="O286" s="5">
        <f t="shared" si="158"/>
        <v>25833</v>
      </c>
      <c r="P286" s="5">
        <f t="shared" si="159"/>
        <v>430.55</v>
      </c>
      <c r="Q286" s="5">
        <f t="shared" si="160"/>
        <v>5166.6000000000004</v>
      </c>
      <c r="R286" s="5">
        <f t="shared" si="161"/>
        <v>5166.6000000000004</v>
      </c>
      <c r="S286" s="5">
        <f t="shared" si="162"/>
        <v>15499.800000000001</v>
      </c>
      <c r="T286" s="5">
        <f t="shared" si="163"/>
        <v>20666.400000000001</v>
      </c>
      <c r="U286" s="5">
        <f t="shared" si="164"/>
        <v>5166.5999999999985</v>
      </c>
    </row>
    <row r="287" spans="1:21">
      <c r="N287" s="5"/>
      <c r="O287" s="5"/>
      <c r="P287" s="5"/>
      <c r="Q287" s="5"/>
      <c r="R287" s="5"/>
      <c r="S287" s="5"/>
      <c r="T287" s="5"/>
      <c r="U287" s="5"/>
    </row>
    <row r="288" spans="1:21">
      <c r="L288" s="6" t="s">
        <v>701</v>
      </c>
      <c r="N288" s="9">
        <f t="shared" ref="N288:U288" si="165">SUM(N281:N287)</f>
        <v>260103.05</v>
      </c>
      <c r="O288" s="9">
        <f t="shared" si="165"/>
        <v>212337.94440000001</v>
      </c>
      <c r="P288" s="9">
        <f t="shared" si="165"/>
        <v>2891.3480923809529</v>
      </c>
      <c r="Q288" s="9">
        <f t="shared" si="165"/>
        <v>34696.177108571428</v>
      </c>
      <c r="R288" s="9">
        <f t="shared" si="165"/>
        <v>5166.6000000000004</v>
      </c>
      <c r="S288" s="9">
        <f t="shared" si="165"/>
        <v>249769.84999999998</v>
      </c>
      <c r="T288" s="9">
        <f t="shared" si="165"/>
        <v>254936.44999999998</v>
      </c>
      <c r="U288" s="9">
        <f t="shared" si="165"/>
        <v>5166.5999999999985</v>
      </c>
    </row>
    <row r="289" spans="1:23">
      <c r="B289" s="4"/>
      <c r="N289" s="5"/>
      <c r="O289" s="5"/>
      <c r="P289" s="5"/>
      <c r="Q289" s="5"/>
      <c r="R289" s="5"/>
      <c r="S289" s="5"/>
      <c r="T289" s="5"/>
      <c r="U289" s="5"/>
    </row>
    <row r="290" spans="1:23">
      <c r="B290" s="4" t="s">
        <v>484</v>
      </c>
      <c r="N290" s="5"/>
      <c r="O290" s="5"/>
      <c r="P290" s="5"/>
      <c r="Q290" s="5"/>
      <c r="R290" s="5"/>
      <c r="S290" s="5"/>
      <c r="T290" s="5"/>
      <c r="U290" s="5"/>
    </row>
    <row r="291" spans="1:23">
      <c r="A291" t="s">
        <v>39</v>
      </c>
      <c r="B291" t="s">
        <v>421</v>
      </c>
      <c r="C291">
        <v>8832</v>
      </c>
      <c r="D291" t="s">
        <v>245</v>
      </c>
      <c r="G291">
        <v>1997</v>
      </c>
      <c r="H291">
        <v>8</v>
      </c>
      <c r="I291">
        <v>0</v>
      </c>
      <c r="J291" t="s">
        <v>30</v>
      </c>
      <c r="K291">
        <v>7</v>
      </c>
      <c r="L291">
        <f t="shared" ref="L291:L328" si="166">G291+K291</f>
        <v>2004</v>
      </c>
      <c r="M291" s="27">
        <f t="shared" ref="M291:M328" si="167">+L291+(H291/12)</f>
        <v>2004.6666666666667</v>
      </c>
      <c r="N291" s="5">
        <f>'2180 Trucks - Orig.'!O265</f>
        <v>16380.632000000001</v>
      </c>
      <c r="O291" s="5">
        <f t="shared" ref="O291:O328" si="168">N291-N291*I291</f>
        <v>16380.632000000001</v>
      </c>
      <c r="P291" s="5">
        <f t="shared" ref="P291:P328" si="169">O291/K291/12</f>
        <v>195.00752380952383</v>
      </c>
      <c r="Q291" s="5">
        <f t="shared" ref="Q291:Q328" si="170">P291*12</f>
        <v>2340.090285714286</v>
      </c>
      <c r="R291" s="5">
        <f>+IF(M291&lt;=$O$5,0,IF(L291&gt;$O$4,Q291,(P291*H291)))</f>
        <v>0</v>
      </c>
      <c r="S291" s="5">
        <f>+IF(R291=0,N291,IF($O$3-G291&lt;1,0,(($O$3-G291)*Q291)))</f>
        <v>16380.632000000001</v>
      </c>
      <c r="T291" s="5">
        <f>+IF(R291=0,S291,S291+R291)</f>
        <v>16380.632000000001</v>
      </c>
      <c r="U291" s="5">
        <f t="shared" ref="U291:U328" si="171">+N291-T291</f>
        <v>0</v>
      </c>
      <c r="W291" t="s">
        <v>372</v>
      </c>
    </row>
    <row r="292" spans="1:23" s="26" customFormat="1">
      <c r="A292" s="24"/>
      <c r="B292" s="24"/>
      <c r="C292" s="24"/>
      <c r="D292" s="24" t="s">
        <v>1010</v>
      </c>
      <c r="E292" s="24"/>
      <c r="F292" s="24"/>
      <c r="G292" s="24">
        <v>2018</v>
      </c>
      <c r="H292" s="24">
        <v>12</v>
      </c>
      <c r="I292" s="24">
        <v>0</v>
      </c>
      <c r="J292" s="24" t="s">
        <v>30</v>
      </c>
      <c r="K292" s="24">
        <f>+IF(L291-$O$3&gt;=3,L291-$O$3,3)</f>
        <v>3</v>
      </c>
      <c r="L292" s="29">
        <f t="shared" si="166"/>
        <v>2021</v>
      </c>
      <c r="M292" s="28">
        <f t="shared" si="167"/>
        <v>2022</v>
      </c>
      <c r="N292" s="25">
        <f>'2180 Trucks - Orig.'!N265-'2180 Trucks'!N291</f>
        <v>4095.1579999999994</v>
      </c>
      <c r="O292" s="25">
        <f t="shared" si="168"/>
        <v>4095.1579999999994</v>
      </c>
      <c r="P292" s="25">
        <f>O292/K292/12</f>
        <v>113.75438888888887</v>
      </c>
      <c r="Q292" s="25">
        <f>P292*12</f>
        <v>1365.0526666666665</v>
      </c>
      <c r="R292" s="25">
        <f t="shared" ref="R292:R328" si="172">+IF(M292&lt;=$O$5,0,IF(L292&gt;$O$4,Q292,(P292*H292)))</f>
        <v>1365.0526666666665</v>
      </c>
      <c r="S292" s="25">
        <f t="shared" ref="S292:S328" si="173">+IF(R292=0,N292,IF($O$3-G292&lt;1,0,(($O$3-G292)*Q292)))</f>
        <v>0</v>
      </c>
      <c r="T292" s="25">
        <f t="shared" ref="T292:T328" si="174">+IF(R292=0,S292,S292+R292)</f>
        <v>1365.0526666666665</v>
      </c>
      <c r="U292" s="25">
        <f t="shared" si="171"/>
        <v>2730.105333333333</v>
      </c>
    </row>
    <row r="293" spans="1:23">
      <c r="A293" t="s">
        <v>39</v>
      </c>
      <c r="B293" t="s">
        <v>421</v>
      </c>
      <c r="C293">
        <v>8833</v>
      </c>
      <c r="D293" t="s">
        <v>245</v>
      </c>
      <c r="G293">
        <v>1997</v>
      </c>
      <c r="H293">
        <v>8</v>
      </c>
      <c r="I293">
        <v>0</v>
      </c>
      <c r="J293" t="s">
        <v>30</v>
      </c>
      <c r="K293">
        <v>7</v>
      </c>
      <c r="L293">
        <f t="shared" si="166"/>
        <v>2004</v>
      </c>
      <c r="M293" s="27">
        <f t="shared" si="167"/>
        <v>2004.6666666666667</v>
      </c>
      <c r="N293" s="5">
        <f>'2180 Trucks - Orig.'!O266</f>
        <v>16380.632000000001</v>
      </c>
      <c r="O293" s="5">
        <f t="shared" si="168"/>
        <v>16380.632000000001</v>
      </c>
      <c r="P293" s="5">
        <f t="shared" si="169"/>
        <v>195.00752380952383</v>
      </c>
      <c r="Q293" s="5">
        <f t="shared" si="170"/>
        <v>2340.090285714286</v>
      </c>
      <c r="R293" s="5">
        <f t="shared" si="172"/>
        <v>0</v>
      </c>
      <c r="S293" s="5">
        <f t="shared" si="173"/>
        <v>16380.632000000001</v>
      </c>
      <c r="T293" s="5">
        <f t="shared" si="174"/>
        <v>16380.632000000001</v>
      </c>
      <c r="U293" s="5">
        <f t="shared" si="171"/>
        <v>0</v>
      </c>
      <c r="W293" t="s">
        <v>372</v>
      </c>
    </row>
    <row r="294" spans="1:23" s="26" customFormat="1">
      <c r="A294" s="24"/>
      <c r="B294" s="24"/>
      <c r="C294" s="24"/>
      <c r="D294" s="24" t="s">
        <v>1010</v>
      </c>
      <c r="E294" s="24"/>
      <c r="F294" s="24"/>
      <c r="G294" s="24">
        <v>2018</v>
      </c>
      <c r="H294" s="24">
        <v>12</v>
      </c>
      <c r="I294" s="24">
        <v>0</v>
      </c>
      <c r="J294" s="24" t="s">
        <v>30</v>
      </c>
      <c r="K294" s="24">
        <f>+IF(L293-$O$3&gt;=3,L293-$O$3,3)</f>
        <v>3</v>
      </c>
      <c r="L294" s="29">
        <f t="shared" si="166"/>
        <v>2021</v>
      </c>
      <c r="M294" s="28">
        <f t="shared" si="167"/>
        <v>2022</v>
      </c>
      <c r="N294" s="25">
        <f>'2180 Trucks - Orig.'!N266-'2180 Trucks'!N293</f>
        <v>4095.1579999999994</v>
      </c>
      <c r="O294" s="25">
        <f t="shared" si="168"/>
        <v>4095.1579999999994</v>
      </c>
      <c r="P294" s="25">
        <f>O294/K294/12</f>
        <v>113.75438888888887</v>
      </c>
      <c r="Q294" s="25">
        <f>P294*12</f>
        <v>1365.0526666666665</v>
      </c>
      <c r="R294" s="25">
        <f t="shared" si="172"/>
        <v>1365.0526666666665</v>
      </c>
      <c r="S294" s="25">
        <f t="shared" si="173"/>
        <v>0</v>
      </c>
      <c r="T294" s="25">
        <f t="shared" si="174"/>
        <v>1365.0526666666665</v>
      </c>
      <c r="U294" s="25">
        <f t="shared" si="171"/>
        <v>2730.105333333333</v>
      </c>
    </row>
    <row r="295" spans="1:23">
      <c r="A295" t="s">
        <v>39</v>
      </c>
      <c r="B295" t="s">
        <v>421</v>
      </c>
      <c r="C295">
        <v>8837</v>
      </c>
      <c r="D295" t="s">
        <v>317</v>
      </c>
      <c r="G295">
        <v>1999</v>
      </c>
      <c r="H295">
        <v>1</v>
      </c>
      <c r="I295">
        <v>0</v>
      </c>
      <c r="J295" t="s">
        <v>30</v>
      </c>
      <c r="K295">
        <v>7</v>
      </c>
      <c r="L295">
        <f t="shared" si="166"/>
        <v>2006</v>
      </c>
      <c r="M295" s="27">
        <f t="shared" si="167"/>
        <v>2006.0833333333333</v>
      </c>
      <c r="N295" s="5">
        <f>'2180 Trucks - Orig.'!O267</f>
        <v>18920</v>
      </c>
      <c r="O295" s="5">
        <f t="shared" si="168"/>
        <v>18920</v>
      </c>
      <c r="P295" s="5">
        <f t="shared" si="169"/>
        <v>225.23809523809521</v>
      </c>
      <c r="Q295" s="5">
        <f t="shared" si="170"/>
        <v>2702.8571428571427</v>
      </c>
      <c r="R295" s="5">
        <f t="shared" si="172"/>
        <v>0</v>
      </c>
      <c r="S295" s="5">
        <f t="shared" si="173"/>
        <v>18920</v>
      </c>
      <c r="T295" s="5">
        <f t="shared" si="174"/>
        <v>18920</v>
      </c>
      <c r="U295" s="5">
        <f t="shared" si="171"/>
        <v>0</v>
      </c>
      <c r="W295" t="s">
        <v>372</v>
      </c>
    </row>
    <row r="296" spans="1:23" s="26" customFormat="1">
      <c r="A296" s="24"/>
      <c r="B296" s="24"/>
      <c r="C296" s="24"/>
      <c r="D296" s="24" t="s">
        <v>1011</v>
      </c>
      <c r="E296" s="24"/>
      <c r="F296" s="24"/>
      <c r="G296" s="24">
        <v>2018</v>
      </c>
      <c r="H296" s="24">
        <v>12</v>
      </c>
      <c r="I296" s="24">
        <v>0</v>
      </c>
      <c r="J296" s="24" t="s">
        <v>30</v>
      </c>
      <c r="K296" s="24">
        <f>+IF(L295-$O$3&gt;=3,L295-$O$3,3)</f>
        <v>3</v>
      </c>
      <c r="L296" s="29">
        <f t="shared" si="166"/>
        <v>2021</v>
      </c>
      <c r="M296" s="28">
        <f t="shared" si="167"/>
        <v>2022</v>
      </c>
      <c r="N296" s="25">
        <f>'2180 Trucks - Orig.'!N267-'2180 Trucks'!N295</f>
        <v>4730</v>
      </c>
      <c r="O296" s="25">
        <f t="shared" si="168"/>
        <v>4730</v>
      </c>
      <c r="P296" s="25">
        <f>O296/K296/12</f>
        <v>131.38888888888889</v>
      </c>
      <c r="Q296" s="25">
        <f>P296*12</f>
        <v>1576.6666666666665</v>
      </c>
      <c r="R296" s="25">
        <f t="shared" si="172"/>
        <v>1576.6666666666665</v>
      </c>
      <c r="S296" s="25">
        <f t="shared" si="173"/>
        <v>0</v>
      </c>
      <c r="T296" s="25">
        <f t="shared" si="174"/>
        <v>1576.6666666666665</v>
      </c>
      <c r="U296" s="25">
        <f t="shared" si="171"/>
        <v>3153.3333333333335</v>
      </c>
    </row>
    <row r="297" spans="1:23">
      <c r="A297" t="s">
        <v>39</v>
      </c>
      <c r="B297" t="s">
        <v>421</v>
      </c>
      <c r="C297">
        <v>8855</v>
      </c>
      <c r="D297" t="s">
        <v>247</v>
      </c>
      <c r="G297">
        <v>1999</v>
      </c>
      <c r="H297">
        <v>6</v>
      </c>
      <c r="I297">
        <v>0</v>
      </c>
      <c r="J297" t="s">
        <v>30</v>
      </c>
      <c r="K297">
        <v>7</v>
      </c>
      <c r="L297">
        <f t="shared" si="166"/>
        <v>2006</v>
      </c>
      <c r="M297" s="27">
        <f t="shared" si="167"/>
        <v>2006.5</v>
      </c>
      <c r="N297" s="5">
        <f>'2180 Trucks - Orig.'!O268</f>
        <v>21238.560000000001</v>
      </c>
      <c r="O297" s="5">
        <f t="shared" si="168"/>
        <v>21238.560000000001</v>
      </c>
      <c r="P297" s="5">
        <f t="shared" si="169"/>
        <v>252.84000000000003</v>
      </c>
      <c r="Q297" s="5">
        <f t="shared" si="170"/>
        <v>3034.0800000000004</v>
      </c>
      <c r="R297" s="5">
        <f t="shared" si="172"/>
        <v>0</v>
      </c>
      <c r="S297" s="5">
        <f t="shared" si="173"/>
        <v>21238.560000000001</v>
      </c>
      <c r="T297" s="5">
        <f t="shared" si="174"/>
        <v>21238.560000000001</v>
      </c>
      <c r="U297" s="5">
        <f t="shared" si="171"/>
        <v>0</v>
      </c>
      <c r="W297" t="s">
        <v>372</v>
      </c>
    </row>
    <row r="298" spans="1:23" s="26" customFormat="1">
      <c r="A298" s="24"/>
      <c r="B298" s="24"/>
      <c r="C298" s="24"/>
      <c r="D298" s="24" t="s">
        <v>1012</v>
      </c>
      <c r="E298" s="24"/>
      <c r="F298" s="24"/>
      <c r="G298" s="24">
        <v>2018</v>
      </c>
      <c r="H298" s="24">
        <v>12</v>
      </c>
      <c r="I298" s="24">
        <v>0</v>
      </c>
      <c r="J298" s="24" t="s">
        <v>30</v>
      </c>
      <c r="K298" s="24">
        <f>+IF(L297-$O$3&gt;=3,L297-$O$3,3)</f>
        <v>3</v>
      </c>
      <c r="L298" s="29">
        <f t="shared" si="166"/>
        <v>2021</v>
      </c>
      <c r="M298" s="28">
        <f t="shared" si="167"/>
        <v>2022</v>
      </c>
      <c r="N298" s="25">
        <f>'2180 Trucks - Orig.'!N268-'2180 Trucks'!N297</f>
        <v>5309.6399999999994</v>
      </c>
      <c r="O298" s="25">
        <f t="shared" si="168"/>
        <v>5309.6399999999994</v>
      </c>
      <c r="P298" s="25">
        <f>O298/K298/12</f>
        <v>147.48999999999998</v>
      </c>
      <c r="Q298" s="25">
        <f>P298*12</f>
        <v>1769.8799999999997</v>
      </c>
      <c r="R298" s="25">
        <f t="shared" si="172"/>
        <v>1769.8799999999997</v>
      </c>
      <c r="S298" s="25">
        <f t="shared" si="173"/>
        <v>0</v>
      </c>
      <c r="T298" s="25">
        <f t="shared" si="174"/>
        <v>1769.8799999999997</v>
      </c>
      <c r="U298" s="25">
        <f t="shared" si="171"/>
        <v>3539.7599999999998</v>
      </c>
    </row>
    <row r="299" spans="1:23">
      <c r="A299" t="s">
        <v>39</v>
      </c>
      <c r="B299" t="s">
        <v>421</v>
      </c>
      <c r="C299">
        <v>8867</v>
      </c>
      <c r="D299" t="s">
        <v>328</v>
      </c>
      <c r="G299">
        <v>2000</v>
      </c>
      <c r="H299">
        <v>5</v>
      </c>
      <c r="I299">
        <v>0</v>
      </c>
      <c r="J299" t="s">
        <v>30</v>
      </c>
      <c r="K299">
        <v>7</v>
      </c>
      <c r="L299">
        <f t="shared" si="166"/>
        <v>2007</v>
      </c>
      <c r="M299" s="27">
        <f t="shared" si="167"/>
        <v>2007.4166666666667</v>
      </c>
      <c r="N299" s="5">
        <f>'2180 Trucks - Orig.'!O271</f>
        <v>26680.640000000003</v>
      </c>
      <c r="O299" s="5">
        <f t="shared" si="168"/>
        <v>26680.640000000003</v>
      </c>
      <c r="P299" s="5">
        <f t="shared" si="169"/>
        <v>317.62666666666672</v>
      </c>
      <c r="Q299" s="5">
        <f t="shared" si="170"/>
        <v>3811.5200000000004</v>
      </c>
      <c r="R299" s="5">
        <f t="shared" si="172"/>
        <v>0</v>
      </c>
      <c r="S299" s="5">
        <f t="shared" si="173"/>
        <v>26680.640000000003</v>
      </c>
      <c r="T299" s="5">
        <f t="shared" si="174"/>
        <v>26680.640000000003</v>
      </c>
      <c r="U299" s="5">
        <f t="shared" si="171"/>
        <v>0</v>
      </c>
      <c r="W299" t="s">
        <v>372</v>
      </c>
    </row>
    <row r="300" spans="1:23" s="26" customFormat="1">
      <c r="A300" s="24"/>
      <c r="B300" s="24"/>
      <c r="C300" s="24"/>
      <c r="D300" s="24" t="s">
        <v>1015</v>
      </c>
      <c r="E300" s="24"/>
      <c r="F300" s="24"/>
      <c r="G300" s="24">
        <v>2018</v>
      </c>
      <c r="H300" s="24">
        <v>12</v>
      </c>
      <c r="I300" s="24">
        <v>0</v>
      </c>
      <c r="J300" s="24" t="s">
        <v>30</v>
      </c>
      <c r="K300" s="24">
        <f>+IF(L299-$O$3&gt;=3,L299-$O$3,3)</f>
        <v>3</v>
      </c>
      <c r="L300" s="29">
        <f t="shared" si="166"/>
        <v>2021</v>
      </c>
      <c r="M300" s="28">
        <f t="shared" si="167"/>
        <v>2022</v>
      </c>
      <c r="N300" s="25">
        <f>'2180 Trucks - Orig.'!N271-'2180 Trucks'!N299</f>
        <v>6670.16</v>
      </c>
      <c r="O300" s="25">
        <f t="shared" si="168"/>
        <v>6670.16</v>
      </c>
      <c r="P300" s="25">
        <f>O300/K300/12</f>
        <v>185.28222222222223</v>
      </c>
      <c r="Q300" s="25">
        <f>P300*12</f>
        <v>2223.3866666666668</v>
      </c>
      <c r="R300" s="25">
        <f t="shared" si="172"/>
        <v>2223.3866666666668</v>
      </c>
      <c r="S300" s="25">
        <f t="shared" si="173"/>
        <v>0</v>
      </c>
      <c r="T300" s="25">
        <f t="shared" si="174"/>
        <v>2223.3866666666668</v>
      </c>
      <c r="U300" s="25">
        <f t="shared" si="171"/>
        <v>4446.7733333333326</v>
      </c>
    </row>
    <row r="301" spans="1:23">
      <c r="A301" t="s">
        <v>39</v>
      </c>
      <c r="B301" t="s">
        <v>421</v>
      </c>
      <c r="C301">
        <v>8874</v>
      </c>
      <c r="D301" t="s">
        <v>187</v>
      </c>
      <c r="G301">
        <v>2003</v>
      </c>
      <c r="H301">
        <v>1</v>
      </c>
      <c r="I301">
        <v>0</v>
      </c>
      <c r="J301" t="s">
        <v>30</v>
      </c>
      <c r="K301">
        <v>7</v>
      </c>
      <c r="L301">
        <f t="shared" si="166"/>
        <v>2010</v>
      </c>
      <c r="M301" s="27">
        <f t="shared" si="167"/>
        <v>2010.0833333333333</v>
      </c>
      <c r="N301" s="5">
        <f>'2180 Trucks - Orig.'!O274</f>
        <v>32125.184000000001</v>
      </c>
      <c r="O301" s="5">
        <f t="shared" si="168"/>
        <v>32125.184000000001</v>
      </c>
      <c r="P301" s="5">
        <f t="shared" si="169"/>
        <v>382.44266666666664</v>
      </c>
      <c r="Q301" s="5">
        <f t="shared" si="170"/>
        <v>4589.3119999999999</v>
      </c>
      <c r="R301" s="5">
        <f t="shared" si="172"/>
        <v>0</v>
      </c>
      <c r="S301" s="5">
        <f t="shared" si="173"/>
        <v>32125.184000000001</v>
      </c>
      <c r="T301" s="5">
        <f t="shared" si="174"/>
        <v>32125.184000000001</v>
      </c>
      <c r="U301" s="5">
        <f t="shared" si="171"/>
        <v>0</v>
      </c>
      <c r="W301" t="s">
        <v>372</v>
      </c>
    </row>
    <row r="302" spans="1:23" s="26" customFormat="1">
      <c r="A302" s="24"/>
      <c r="B302" s="24"/>
      <c r="C302" s="24"/>
      <c r="D302" s="24" t="s">
        <v>1017</v>
      </c>
      <c r="E302" s="24"/>
      <c r="F302" s="24"/>
      <c r="G302" s="24">
        <v>2018</v>
      </c>
      <c r="H302" s="24">
        <v>12</v>
      </c>
      <c r="I302" s="24">
        <v>0</v>
      </c>
      <c r="J302" s="24" t="s">
        <v>30</v>
      </c>
      <c r="K302" s="24">
        <f>+IF(L301-$O$3&gt;=3,L301-$O$3,3)</f>
        <v>3</v>
      </c>
      <c r="L302" s="29">
        <f t="shared" si="166"/>
        <v>2021</v>
      </c>
      <c r="M302" s="28">
        <f t="shared" si="167"/>
        <v>2022</v>
      </c>
      <c r="N302" s="25">
        <f>'2180 Trucks - Orig.'!N274-'2180 Trucks'!N301</f>
        <v>8031.2960000000021</v>
      </c>
      <c r="O302" s="25">
        <f t="shared" si="168"/>
        <v>8031.2960000000021</v>
      </c>
      <c r="P302" s="25">
        <f>O302/K302/12</f>
        <v>223.0915555555556</v>
      </c>
      <c r="Q302" s="25">
        <f>P302*12</f>
        <v>2677.0986666666672</v>
      </c>
      <c r="R302" s="25">
        <f t="shared" si="172"/>
        <v>2677.0986666666672</v>
      </c>
      <c r="S302" s="25">
        <f t="shared" si="173"/>
        <v>0</v>
      </c>
      <c r="T302" s="25">
        <f t="shared" si="174"/>
        <v>2677.0986666666672</v>
      </c>
      <c r="U302" s="25">
        <f t="shared" si="171"/>
        <v>5354.1973333333353</v>
      </c>
    </row>
    <row r="303" spans="1:23">
      <c r="A303" t="s">
        <v>39</v>
      </c>
      <c r="B303" t="s">
        <v>421</v>
      </c>
      <c r="C303">
        <v>8875</v>
      </c>
      <c r="D303" t="s">
        <v>186</v>
      </c>
      <c r="G303">
        <v>2003</v>
      </c>
      <c r="H303">
        <v>3</v>
      </c>
      <c r="I303">
        <v>0</v>
      </c>
      <c r="J303" t="s">
        <v>30</v>
      </c>
      <c r="K303">
        <v>7</v>
      </c>
      <c r="L303">
        <f t="shared" si="166"/>
        <v>2010</v>
      </c>
      <c r="M303" s="27">
        <f t="shared" si="167"/>
        <v>2010.25</v>
      </c>
      <c r="N303" s="5">
        <f>'2180 Trucks - Orig.'!O275</f>
        <v>32125.184000000001</v>
      </c>
      <c r="O303" s="5">
        <f t="shared" si="168"/>
        <v>32125.184000000001</v>
      </c>
      <c r="P303" s="5">
        <f t="shared" si="169"/>
        <v>382.44266666666664</v>
      </c>
      <c r="Q303" s="5">
        <f t="shared" si="170"/>
        <v>4589.3119999999999</v>
      </c>
      <c r="R303" s="5">
        <f t="shared" si="172"/>
        <v>0</v>
      </c>
      <c r="S303" s="5">
        <f t="shared" si="173"/>
        <v>32125.184000000001</v>
      </c>
      <c r="T303" s="5">
        <f t="shared" si="174"/>
        <v>32125.184000000001</v>
      </c>
      <c r="U303" s="5">
        <f t="shared" si="171"/>
        <v>0</v>
      </c>
      <c r="W303" t="s">
        <v>372</v>
      </c>
    </row>
    <row r="304" spans="1:23" s="26" customFormat="1">
      <c r="A304" s="24"/>
      <c r="B304" s="24"/>
      <c r="C304" s="24"/>
      <c r="D304" s="24" t="s">
        <v>1018</v>
      </c>
      <c r="E304" s="24"/>
      <c r="F304" s="24"/>
      <c r="G304" s="24">
        <v>2018</v>
      </c>
      <c r="H304" s="24">
        <v>12</v>
      </c>
      <c r="I304" s="24">
        <v>0</v>
      </c>
      <c r="J304" s="24" t="s">
        <v>30</v>
      </c>
      <c r="K304" s="24">
        <f>+IF(L303-$O$3&gt;=3,L303-$O$3,3)</f>
        <v>3</v>
      </c>
      <c r="L304" s="29">
        <f t="shared" si="166"/>
        <v>2021</v>
      </c>
      <c r="M304" s="28">
        <f t="shared" si="167"/>
        <v>2022</v>
      </c>
      <c r="N304" s="25">
        <f>'2180 Trucks - Orig.'!N275-'2180 Trucks'!N303</f>
        <v>8031.2960000000021</v>
      </c>
      <c r="O304" s="25">
        <f t="shared" si="168"/>
        <v>8031.2960000000021</v>
      </c>
      <c r="P304" s="25">
        <f>O304/K304/12</f>
        <v>223.0915555555556</v>
      </c>
      <c r="Q304" s="25">
        <f>P304*12</f>
        <v>2677.0986666666672</v>
      </c>
      <c r="R304" s="25">
        <f t="shared" si="172"/>
        <v>2677.0986666666672</v>
      </c>
      <c r="S304" s="25">
        <f t="shared" si="173"/>
        <v>0</v>
      </c>
      <c r="T304" s="25">
        <f t="shared" si="174"/>
        <v>2677.0986666666672</v>
      </c>
      <c r="U304" s="25">
        <f t="shared" si="171"/>
        <v>5354.1973333333353</v>
      </c>
    </row>
    <row r="305" spans="1:23">
      <c r="A305" t="s">
        <v>39</v>
      </c>
      <c r="B305" t="s">
        <v>421</v>
      </c>
      <c r="C305">
        <v>8876</v>
      </c>
      <c r="D305" t="s">
        <v>186</v>
      </c>
      <c r="G305">
        <v>2003</v>
      </c>
      <c r="H305">
        <v>3</v>
      </c>
      <c r="I305">
        <v>0</v>
      </c>
      <c r="J305" t="s">
        <v>30</v>
      </c>
      <c r="K305">
        <v>7</v>
      </c>
      <c r="L305">
        <f t="shared" si="166"/>
        <v>2010</v>
      </c>
      <c r="M305" s="27">
        <f t="shared" si="167"/>
        <v>2010.25</v>
      </c>
      <c r="N305" s="5">
        <f>'2180 Trucks - Orig.'!O276</f>
        <v>32125.184000000001</v>
      </c>
      <c r="O305" s="5">
        <f t="shared" si="168"/>
        <v>32125.184000000001</v>
      </c>
      <c r="P305" s="5">
        <f t="shared" si="169"/>
        <v>382.44266666666664</v>
      </c>
      <c r="Q305" s="5">
        <f t="shared" si="170"/>
        <v>4589.3119999999999</v>
      </c>
      <c r="R305" s="5">
        <f t="shared" si="172"/>
        <v>0</v>
      </c>
      <c r="S305" s="5">
        <f t="shared" si="173"/>
        <v>32125.184000000001</v>
      </c>
      <c r="T305" s="5">
        <f t="shared" si="174"/>
        <v>32125.184000000001</v>
      </c>
      <c r="U305" s="5">
        <f t="shared" si="171"/>
        <v>0</v>
      </c>
      <c r="W305" t="s">
        <v>372</v>
      </c>
    </row>
    <row r="306" spans="1:23" s="26" customFormat="1">
      <c r="A306" s="24"/>
      <c r="B306" s="24"/>
      <c r="C306" s="24"/>
      <c r="D306" s="24" t="s">
        <v>1018</v>
      </c>
      <c r="E306" s="24"/>
      <c r="F306" s="24"/>
      <c r="G306" s="24">
        <v>2018</v>
      </c>
      <c r="H306" s="24">
        <v>12</v>
      </c>
      <c r="I306" s="24">
        <v>0</v>
      </c>
      <c r="J306" s="24" t="s">
        <v>30</v>
      </c>
      <c r="K306" s="24">
        <f>+IF(L305-$O$3&gt;=3,L305-$O$3,3)</f>
        <v>3</v>
      </c>
      <c r="L306" s="29">
        <f t="shared" si="166"/>
        <v>2021</v>
      </c>
      <c r="M306" s="28">
        <f t="shared" si="167"/>
        <v>2022</v>
      </c>
      <c r="N306" s="25">
        <f>'2180 Trucks - Orig.'!N276-'2180 Trucks'!N305</f>
        <v>8031.2960000000021</v>
      </c>
      <c r="O306" s="25">
        <f t="shared" si="168"/>
        <v>8031.2960000000021</v>
      </c>
      <c r="P306" s="25">
        <f>O306/K306/12</f>
        <v>223.0915555555556</v>
      </c>
      <c r="Q306" s="25">
        <f>P306*12</f>
        <v>2677.0986666666672</v>
      </c>
      <c r="R306" s="25">
        <f t="shared" si="172"/>
        <v>2677.0986666666672</v>
      </c>
      <c r="S306" s="25">
        <f t="shared" si="173"/>
        <v>0</v>
      </c>
      <c r="T306" s="25">
        <f t="shared" si="174"/>
        <v>2677.0986666666672</v>
      </c>
      <c r="U306" s="25">
        <f t="shared" si="171"/>
        <v>5354.1973333333353</v>
      </c>
    </row>
    <row r="307" spans="1:23">
      <c r="A307" t="s">
        <v>39</v>
      </c>
      <c r="B307" t="s">
        <v>421</v>
      </c>
      <c r="C307">
        <v>8879</v>
      </c>
      <c r="D307" t="s">
        <v>192</v>
      </c>
      <c r="G307">
        <v>2004</v>
      </c>
      <c r="H307">
        <v>4</v>
      </c>
      <c r="I307">
        <v>0</v>
      </c>
      <c r="J307" t="s">
        <v>30</v>
      </c>
      <c r="K307">
        <v>7</v>
      </c>
      <c r="L307">
        <f t="shared" si="166"/>
        <v>2011</v>
      </c>
      <c r="M307" s="27">
        <f t="shared" si="167"/>
        <v>2011.3333333333333</v>
      </c>
      <c r="N307" s="5">
        <f>'2180 Trucks - Orig.'!O277</f>
        <v>31428.864000000001</v>
      </c>
      <c r="O307" s="5">
        <f t="shared" si="168"/>
        <v>31428.864000000001</v>
      </c>
      <c r="P307" s="5">
        <f t="shared" si="169"/>
        <v>374.15314285714288</v>
      </c>
      <c r="Q307" s="5">
        <f t="shared" si="170"/>
        <v>4489.8377142857144</v>
      </c>
      <c r="R307" s="5">
        <f t="shared" si="172"/>
        <v>0</v>
      </c>
      <c r="S307" s="5">
        <f t="shared" si="173"/>
        <v>31428.864000000001</v>
      </c>
      <c r="T307" s="5">
        <f t="shared" si="174"/>
        <v>31428.864000000001</v>
      </c>
      <c r="U307" s="5">
        <f t="shared" si="171"/>
        <v>0</v>
      </c>
      <c r="W307" t="s">
        <v>372</v>
      </c>
    </row>
    <row r="308" spans="1:23" s="24" customFormat="1">
      <c r="D308" s="24" t="s">
        <v>1019</v>
      </c>
      <c r="G308" s="24">
        <v>2018</v>
      </c>
      <c r="H308" s="24">
        <v>12</v>
      </c>
      <c r="I308" s="24">
        <v>0</v>
      </c>
      <c r="J308" s="24" t="s">
        <v>30</v>
      </c>
      <c r="K308" s="24">
        <f>+IF(L307-$O$3&gt;=3,L307-$O$3,3)</f>
        <v>3</v>
      </c>
      <c r="L308" s="24">
        <f t="shared" si="166"/>
        <v>2021</v>
      </c>
      <c r="M308" s="28">
        <f t="shared" si="167"/>
        <v>2022</v>
      </c>
      <c r="N308" s="25">
        <f>'2180 Trucks - Orig.'!N277-'2180 Trucks'!N307</f>
        <v>7857.2160000000003</v>
      </c>
      <c r="O308" s="25">
        <f t="shared" si="168"/>
        <v>7857.2160000000003</v>
      </c>
      <c r="P308" s="25">
        <f>O308/K308/12</f>
        <v>218.256</v>
      </c>
      <c r="Q308" s="25">
        <f>P308*12</f>
        <v>2619.0720000000001</v>
      </c>
      <c r="R308" s="25">
        <f t="shared" si="172"/>
        <v>2619.0720000000001</v>
      </c>
      <c r="S308" s="25">
        <f t="shared" si="173"/>
        <v>0</v>
      </c>
      <c r="T308" s="25">
        <f t="shared" si="174"/>
        <v>2619.0720000000001</v>
      </c>
      <c r="U308" s="25">
        <f t="shared" si="171"/>
        <v>5238.1440000000002</v>
      </c>
    </row>
    <row r="309" spans="1:23">
      <c r="A309" t="s">
        <v>39</v>
      </c>
      <c r="B309" t="s">
        <v>421</v>
      </c>
      <c r="C309">
        <v>8880</v>
      </c>
      <c r="D309" t="s">
        <v>191</v>
      </c>
      <c r="G309">
        <v>2004</v>
      </c>
      <c r="H309">
        <v>4</v>
      </c>
      <c r="I309">
        <v>0</v>
      </c>
      <c r="J309" t="s">
        <v>30</v>
      </c>
      <c r="K309">
        <v>7</v>
      </c>
      <c r="L309">
        <f t="shared" si="166"/>
        <v>2011</v>
      </c>
      <c r="M309" s="27">
        <f t="shared" si="167"/>
        <v>2011.3333333333333</v>
      </c>
      <c r="N309" s="5">
        <f>'2180 Trucks - Orig.'!O278</f>
        <v>31428.864000000001</v>
      </c>
      <c r="O309" s="5">
        <f t="shared" si="168"/>
        <v>31428.864000000001</v>
      </c>
      <c r="P309" s="5">
        <f t="shared" si="169"/>
        <v>374.15314285714288</v>
      </c>
      <c r="Q309" s="5">
        <f t="shared" si="170"/>
        <v>4489.8377142857144</v>
      </c>
      <c r="R309" s="5">
        <f t="shared" si="172"/>
        <v>0</v>
      </c>
      <c r="S309" s="5">
        <f t="shared" si="173"/>
        <v>31428.864000000001</v>
      </c>
      <c r="T309" s="5">
        <f t="shared" si="174"/>
        <v>31428.864000000001</v>
      </c>
      <c r="U309" s="5">
        <f t="shared" si="171"/>
        <v>0</v>
      </c>
      <c r="W309" t="s">
        <v>372</v>
      </c>
    </row>
    <row r="310" spans="1:23" s="24" customFormat="1">
      <c r="D310" s="24" t="s">
        <v>1020</v>
      </c>
      <c r="G310" s="24">
        <v>2018</v>
      </c>
      <c r="H310" s="24">
        <v>12</v>
      </c>
      <c r="I310" s="24">
        <v>0</v>
      </c>
      <c r="J310" s="24" t="s">
        <v>30</v>
      </c>
      <c r="K310" s="24">
        <f>+IF(L309-$O$3&gt;=3,L309-$O$3,3)</f>
        <v>3</v>
      </c>
      <c r="L310" s="24">
        <f t="shared" si="166"/>
        <v>2021</v>
      </c>
      <c r="M310" s="28">
        <f t="shared" si="167"/>
        <v>2022</v>
      </c>
      <c r="N310" s="25">
        <f>'2180 Trucks - Orig.'!N278-'2180 Trucks'!N309</f>
        <v>7857.2160000000003</v>
      </c>
      <c r="O310" s="25">
        <f t="shared" si="168"/>
        <v>7857.2160000000003</v>
      </c>
      <c r="P310" s="25">
        <f>O310/K310/12</f>
        <v>218.256</v>
      </c>
      <c r="Q310" s="25">
        <f>P310*12</f>
        <v>2619.0720000000001</v>
      </c>
      <c r="R310" s="25">
        <f t="shared" si="172"/>
        <v>2619.0720000000001</v>
      </c>
      <c r="S310" s="25">
        <f t="shared" si="173"/>
        <v>0</v>
      </c>
      <c r="T310" s="25">
        <f t="shared" si="174"/>
        <v>2619.0720000000001</v>
      </c>
      <c r="U310" s="25">
        <f t="shared" si="171"/>
        <v>5238.1440000000002</v>
      </c>
    </row>
    <row r="311" spans="1:23">
      <c r="A311" t="s">
        <v>52</v>
      </c>
      <c r="B311" t="s">
        <v>421</v>
      </c>
      <c r="C311">
        <v>5594</v>
      </c>
      <c r="D311" t="s">
        <v>53</v>
      </c>
      <c r="G311">
        <v>2005</v>
      </c>
      <c r="H311">
        <v>12</v>
      </c>
      <c r="I311">
        <v>0</v>
      </c>
      <c r="J311" t="s">
        <v>30</v>
      </c>
      <c r="K311">
        <v>7</v>
      </c>
      <c r="L311">
        <f t="shared" si="166"/>
        <v>2012</v>
      </c>
      <c r="M311" s="27">
        <f t="shared" si="167"/>
        <v>2013</v>
      </c>
      <c r="N311" s="5">
        <f>'2180 Trucks - Orig.'!O279</f>
        <v>78167.872000000003</v>
      </c>
      <c r="O311" s="5">
        <f t="shared" si="168"/>
        <v>78167.872000000003</v>
      </c>
      <c r="P311" s="5">
        <f t="shared" si="169"/>
        <v>930.5699047619047</v>
      </c>
      <c r="Q311" s="5">
        <f t="shared" si="170"/>
        <v>11166.838857142857</v>
      </c>
      <c r="R311" s="5">
        <f t="shared" si="172"/>
        <v>0</v>
      </c>
      <c r="S311" s="5">
        <f t="shared" si="173"/>
        <v>78167.872000000003</v>
      </c>
      <c r="T311" s="5">
        <f t="shared" si="174"/>
        <v>78167.872000000003</v>
      </c>
      <c r="U311" s="5">
        <f t="shared" si="171"/>
        <v>0</v>
      </c>
      <c r="W311" t="s">
        <v>428</v>
      </c>
    </row>
    <row r="312" spans="1:23" s="24" customFormat="1">
      <c r="D312" s="24" t="s">
        <v>1021</v>
      </c>
      <c r="G312" s="24">
        <v>2018</v>
      </c>
      <c r="H312" s="24">
        <v>12</v>
      </c>
      <c r="I312" s="24">
        <v>0</v>
      </c>
      <c r="J312" s="24" t="s">
        <v>30</v>
      </c>
      <c r="K312" s="24">
        <f>+IF(L311-$O$3&gt;=3,L311-$O$3,3)</f>
        <v>3</v>
      </c>
      <c r="L312" s="24">
        <f t="shared" si="166"/>
        <v>2021</v>
      </c>
      <c r="M312" s="28">
        <f t="shared" si="167"/>
        <v>2022</v>
      </c>
      <c r="N312" s="25">
        <f>'2180 Trucks - Orig.'!N279-'2180 Trucks'!N311</f>
        <v>19541.967999999993</v>
      </c>
      <c r="O312" s="25">
        <f t="shared" si="168"/>
        <v>19541.967999999993</v>
      </c>
      <c r="P312" s="25">
        <f>O312/K312/12</f>
        <v>542.83244444444426</v>
      </c>
      <c r="Q312" s="25">
        <f>P312*12</f>
        <v>6513.9893333333312</v>
      </c>
      <c r="R312" s="25">
        <f t="shared" si="172"/>
        <v>6513.9893333333312</v>
      </c>
      <c r="S312" s="25">
        <f t="shared" si="173"/>
        <v>0</v>
      </c>
      <c r="T312" s="25">
        <f t="shared" si="174"/>
        <v>6513.9893333333312</v>
      </c>
      <c r="U312" s="25">
        <f t="shared" si="171"/>
        <v>13027.978666666662</v>
      </c>
    </row>
    <row r="313" spans="1:23">
      <c r="A313" t="s">
        <v>52</v>
      </c>
      <c r="B313" t="s">
        <v>421</v>
      </c>
      <c r="C313">
        <v>5595</v>
      </c>
      <c r="D313" t="s">
        <v>53</v>
      </c>
      <c r="G313">
        <v>2005</v>
      </c>
      <c r="H313">
        <v>12</v>
      </c>
      <c r="I313">
        <v>0</v>
      </c>
      <c r="J313" t="s">
        <v>30</v>
      </c>
      <c r="K313">
        <v>7</v>
      </c>
      <c r="L313">
        <f t="shared" si="166"/>
        <v>2012</v>
      </c>
      <c r="M313" s="27">
        <f t="shared" si="167"/>
        <v>2013</v>
      </c>
      <c r="N313" s="5">
        <f>'2180 Trucks - Orig.'!O280</f>
        <v>78167.872000000003</v>
      </c>
      <c r="O313" s="5">
        <f t="shared" si="168"/>
        <v>78167.872000000003</v>
      </c>
      <c r="P313" s="5">
        <f t="shared" si="169"/>
        <v>930.5699047619047</v>
      </c>
      <c r="Q313" s="5">
        <f t="shared" si="170"/>
        <v>11166.838857142857</v>
      </c>
      <c r="R313" s="5">
        <f t="shared" si="172"/>
        <v>0</v>
      </c>
      <c r="S313" s="5">
        <f t="shared" si="173"/>
        <v>78167.872000000003</v>
      </c>
      <c r="T313" s="5">
        <f t="shared" si="174"/>
        <v>78167.872000000003</v>
      </c>
      <c r="U313" s="5">
        <f t="shared" si="171"/>
        <v>0</v>
      </c>
      <c r="W313" t="s">
        <v>428</v>
      </c>
    </row>
    <row r="314" spans="1:23" s="24" customFormat="1">
      <c r="D314" s="24" t="s">
        <v>1021</v>
      </c>
      <c r="G314" s="24">
        <v>2018</v>
      </c>
      <c r="H314" s="24">
        <v>12</v>
      </c>
      <c r="I314" s="24">
        <v>0</v>
      </c>
      <c r="J314" s="24" t="s">
        <v>30</v>
      </c>
      <c r="K314" s="24">
        <f>+IF(L313-$O$3&gt;=3,L313-$O$3,3)</f>
        <v>3</v>
      </c>
      <c r="L314" s="24">
        <f t="shared" si="166"/>
        <v>2021</v>
      </c>
      <c r="M314" s="28">
        <f t="shared" si="167"/>
        <v>2022</v>
      </c>
      <c r="N314" s="25">
        <f>'2180 Trucks - Orig.'!N280-'2180 Trucks'!N313</f>
        <v>19541.967999999993</v>
      </c>
      <c r="O314" s="25">
        <f t="shared" si="168"/>
        <v>19541.967999999993</v>
      </c>
      <c r="P314" s="25">
        <f>O314/K314/12</f>
        <v>542.83244444444426</v>
      </c>
      <c r="Q314" s="25">
        <f>P314*12</f>
        <v>6513.9893333333312</v>
      </c>
      <c r="R314" s="25">
        <f t="shared" si="172"/>
        <v>6513.9893333333312</v>
      </c>
      <c r="S314" s="25">
        <f t="shared" si="173"/>
        <v>0</v>
      </c>
      <c r="T314" s="25">
        <f t="shared" si="174"/>
        <v>6513.9893333333312</v>
      </c>
      <c r="U314" s="25">
        <f t="shared" si="171"/>
        <v>13027.978666666662</v>
      </c>
    </row>
    <row r="315" spans="1:23">
      <c r="A315" t="s">
        <v>52</v>
      </c>
      <c r="B315" t="s">
        <v>421</v>
      </c>
      <c r="C315">
        <v>5614</v>
      </c>
      <c r="D315" t="s">
        <v>59</v>
      </c>
      <c r="G315">
        <v>2006</v>
      </c>
      <c r="H315">
        <v>12</v>
      </c>
      <c r="I315">
        <v>0</v>
      </c>
      <c r="J315" t="s">
        <v>30</v>
      </c>
      <c r="K315">
        <v>7</v>
      </c>
      <c r="L315">
        <f t="shared" si="166"/>
        <v>2013</v>
      </c>
      <c r="M315" s="27">
        <f t="shared" si="167"/>
        <v>2014</v>
      </c>
      <c r="N315" s="5">
        <f>'2180 Trucks - Orig.'!O281</f>
        <v>86154.207999999999</v>
      </c>
      <c r="O315" s="5">
        <f t="shared" si="168"/>
        <v>86154.207999999999</v>
      </c>
      <c r="P315" s="5">
        <f t="shared" si="169"/>
        <v>1025.6453333333334</v>
      </c>
      <c r="Q315" s="5">
        <f t="shared" si="170"/>
        <v>12307.744000000001</v>
      </c>
      <c r="R315" s="5">
        <f t="shared" si="172"/>
        <v>0</v>
      </c>
      <c r="S315" s="5">
        <f t="shared" si="173"/>
        <v>86154.207999999999</v>
      </c>
      <c r="T315" s="5">
        <f t="shared" si="174"/>
        <v>86154.207999999999</v>
      </c>
      <c r="U315" s="5">
        <f t="shared" si="171"/>
        <v>0</v>
      </c>
      <c r="W315" t="s">
        <v>428</v>
      </c>
    </row>
    <row r="316" spans="1:23" s="24" customFormat="1">
      <c r="D316" s="24" t="s">
        <v>1022</v>
      </c>
      <c r="G316" s="24">
        <v>2018</v>
      </c>
      <c r="H316" s="24">
        <v>12</v>
      </c>
      <c r="I316" s="24">
        <v>0</v>
      </c>
      <c r="J316" s="24" t="s">
        <v>30</v>
      </c>
      <c r="K316" s="24">
        <f>+IF(L315-$O$3&gt;=3,L315-$O$3,3)</f>
        <v>3</v>
      </c>
      <c r="L316" s="24">
        <f t="shared" si="166"/>
        <v>2021</v>
      </c>
      <c r="M316" s="28">
        <f t="shared" si="167"/>
        <v>2022</v>
      </c>
      <c r="N316" s="25">
        <f>'2180 Trucks - Orig.'!N281-'2180 Trucks'!N315</f>
        <v>21538.551999999996</v>
      </c>
      <c r="O316" s="25">
        <f t="shared" si="168"/>
        <v>21538.551999999996</v>
      </c>
      <c r="P316" s="25">
        <f>O316/K316/12</f>
        <v>598.29311111111099</v>
      </c>
      <c r="Q316" s="25">
        <f>P316*12</f>
        <v>7179.5173333333314</v>
      </c>
      <c r="R316" s="25">
        <f t="shared" si="172"/>
        <v>7179.5173333333314</v>
      </c>
      <c r="S316" s="25">
        <f t="shared" si="173"/>
        <v>0</v>
      </c>
      <c r="T316" s="25">
        <f t="shared" si="174"/>
        <v>7179.5173333333314</v>
      </c>
      <c r="U316" s="25">
        <f t="shared" si="171"/>
        <v>14359.034666666665</v>
      </c>
    </row>
    <row r="317" spans="1:23">
      <c r="A317" t="s">
        <v>52</v>
      </c>
      <c r="B317" t="s">
        <v>421</v>
      </c>
      <c r="C317">
        <v>5594</v>
      </c>
      <c r="D317" t="s">
        <v>167</v>
      </c>
      <c r="G317">
        <v>2007</v>
      </c>
      <c r="H317">
        <v>1</v>
      </c>
      <c r="I317">
        <v>0</v>
      </c>
      <c r="J317" t="s">
        <v>30</v>
      </c>
      <c r="K317">
        <v>5</v>
      </c>
      <c r="L317">
        <f t="shared" si="166"/>
        <v>2012</v>
      </c>
      <c r="M317" s="27">
        <f t="shared" si="167"/>
        <v>2012.0833333333333</v>
      </c>
      <c r="N317" s="5">
        <v>744</v>
      </c>
      <c r="O317" s="5">
        <f t="shared" si="168"/>
        <v>744</v>
      </c>
      <c r="P317" s="5">
        <f t="shared" si="169"/>
        <v>12.4</v>
      </c>
      <c r="Q317" s="5">
        <f t="shared" si="170"/>
        <v>148.80000000000001</v>
      </c>
      <c r="R317" s="5">
        <f t="shared" si="172"/>
        <v>0</v>
      </c>
      <c r="S317" s="5">
        <f t="shared" si="173"/>
        <v>744</v>
      </c>
      <c r="T317" s="5">
        <f t="shared" si="174"/>
        <v>744</v>
      </c>
      <c r="U317" s="5">
        <f t="shared" si="171"/>
        <v>0</v>
      </c>
      <c r="W317" t="s">
        <v>428</v>
      </c>
    </row>
    <row r="318" spans="1:23">
      <c r="A318" t="s">
        <v>52</v>
      </c>
      <c r="B318" t="s">
        <v>421</v>
      </c>
      <c r="C318">
        <v>5595</v>
      </c>
      <c r="D318" t="s">
        <v>167</v>
      </c>
      <c r="G318">
        <v>2007</v>
      </c>
      <c r="H318">
        <v>1</v>
      </c>
      <c r="I318">
        <v>0</v>
      </c>
      <c r="J318" t="s">
        <v>30</v>
      </c>
      <c r="K318">
        <v>5</v>
      </c>
      <c r="L318">
        <f t="shared" si="166"/>
        <v>2012</v>
      </c>
      <c r="M318" s="27">
        <f t="shared" si="167"/>
        <v>2012.0833333333333</v>
      </c>
      <c r="N318" s="5">
        <v>744</v>
      </c>
      <c r="O318" s="5">
        <f t="shared" si="168"/>
        <v>744</v>
      </c>
      <c r="P318" s="5">
        <f t="shared" si="169"/>
        <v>12.4</v>
      </c>
      <c r="Q318" s="5">
        <f t="shared" si="170"/>
        <v>148.80000000000001</v>
      </c>
      <c r="R318" s="5">
        <f t="shared" si="172"/>
        <v>0</v>
      </c>
      <c r="S318" s="5">
        <f t="shared" si="173"/>
        <v>744</v>
      </c>
      <c r="T318" s="5">
        <f t="shared" si="174"/>
        <v>744</v>
      </c>
      <c r="U318" s="5">
        <f t="shared" si="171"/>
        <v>0</v>
      </c>
      <c r="W318" t="s">
        <v>428</v>
      </c>
    </row>
    <row r="319" spans="1:23">
      <c r="A319" t="s">
        <v>52</v>
      </c>
      <c r="B319" t="s">
        <v>421</v>
      </c>
      <c r="C319">
        <v>5614</v>
      </c>
      <c r="D319" t="s">
        <v>167</v>
      </c>
      <c r="G319">
        <v>2007</v>
      </c>
      <c r="H319">
        <v>1</v>
      </c>
      <c r="I319">
        <v>0</v>
      </c>
      <c r="J319" t="s">
        <v>30</v>
      </c>
      <c r="K319">
        <v>5</v>
      </c>
      <c r="L319">
        <f t="shared" si="166"/>
        <v>2012</v>
      </c>
      <c r="M319" s="27">
        <f t="shared" si="167"/>
        <v>2012.0833333333333</v>
      </c>
      <c r="N319" s="5">
        <v>1028.8499999999999</v>
      </c>
      <c r="O319" s="5">
        <f t="shared" si="168"/>
        <v>1028.8499999999999</v>
      </c>
      <c r="P319" s="5">
        <f t="shared" si="169"/>
        <v>17.147499999999997</v>
      </c>
      <c r="Q319" s="5">
        <f t="shared" si="170"/>
        <v>205.76999999999998</v>
      </c>
      <c r="R319" s="5">
        <f t="shared" si="172"/>
        <v>0</v>
      </c>
      <c r="S319" s="5">
        <f t="shared" si="173"/>
        <v>1028.8499999999999</v>
      </c>
      <c r="T319" s="5">
        <f t="shared" si="174"/>
        <v>1028.8499999999999</v>
      </c>
      <c r="U319" s="5">
        <f t="shared" si="171"/>
        <v>0</v>
      </c>
      <c r="W319" t="s">
        <v>428</v>
      </c>
    </row>
    <row r="320" spans="1:23">
      <c r="A320" t="s">
        <v>52</v>
      </c>
      <c r="B320" t="s">
        <v>421</v>
      </c>
      <c r="C320">
        <v>5617</v>
      </c>
      <c r="D320" t="s">
        <v>171</v>
      </c>
      <c r="G320">
        <v>2007</v>
      </c>
      <c r="H320">
        <v>2</v>
      </c>
      <c r="I320">
        <v>0</v>
      </c>
      <c r="J320" t="s">
        <v>30</v>
      </c>
      <c r="K320">
        <v>7</v>
      </c>
      <c r="L320">
        <f t="shared" si="166"/>
        <v>2014</v>
      </c>
      <c r="M320" s="27">
        <f t="shared" si="167"/>
        <v>2014.1666666666667</v>
      </c>
      <c r="N320" s="5">
        <f>'2180 Trucks - Orig.'!O286</f>
        <v>6550.1120000000001</v>
      </c>
      <c r="O320" s="5">
        <f t="shared" si="168"/>
        <v>6550.1120000000001</v>
      </c>
      <c r="P320" s="5">
        <f t="shared" si="169"/>
        <v>77.977523809523817</v>
      </c>
      <c r="Q320" s="5">
        <f t="shared" si="170"/>
        <v>935.73028571428586</v>
      </c>
      <c r="R320" s="5">
        <f t="shared" si="172"/>
        <v>0</v>
      </c>
      <c r="S320" s="5">
        <f t="shared" si="173"/>
        <v>6550.1120000000001</v>
      </c>
      <c r="T320" s="5">
        <f t="shared" si="174"/>
        <v>6550.1120000000001</v>
      </c>
      <c r="U320" s="5">
        <f t="shared" si="171"/>
        <v>0</v>
      </c>
      <c r="W320" t="s">
        <v>428</v>
      </c>
    </row>
    <row r="321" spans="1:23" s="24" customFormat="1">
      <c r="D321" s="24" t="s">
        <v>1024</v>
      </c>
      <c r="G321" s="24">
        <v>2018</v>
      </c>
      <c r="H321" s="24">
        <v>12</v>
      </c>
      <c r="I321" s="24">
        <v>0</v>
      </c>
      <c r="J321" s="24" t="s">
        <v>30</v>
      </c>
      <c r="K321" s="24">
        <f>+IF(L320-$O$3&gt;=3,L320-$O$3,3)</f>
        <v>3</v>
      </c>
      <c r="L321" s="24">
        <f t="shared" si="166"/>
        <v>2021</v>
      </c>
      <c r="M321" s="28">
        <f>+L321+(H321/12)</f>
        <v>2022</v>
      </c>
      <c r="N321" s="25">
        <f>'2180 Trucks - Orig.'!N286-'2180 Trucks'!N320</f>
        <v>1637.5280000000002</v>
      </c>
      <c r="O321" s="25">
        <f>N321-N321*I321</f>
        <v>1637.5280000000002</v>
      </c>
      <c r="P321" s="25">
        <f>O321/K321/12</f>
        <v>45.486888888888899</v>
      </c>
      <c r="Q321" s="25">
        <f>P321*12</f>
        <v>545.84266666666679</v>
      </c>
      <c r="R321" s="25">
        <f t="shared" si="172"/>
        <v>545.84266666666679</v>
      </c>
      <c r="S321" s="25">
        <f t="shared" si="173"/>
        <v>0</v>
      </c>
      <c r="T321" s="25">
        <f t="shared" si="174"/>
        <v>545.84266666666679</v>
      </c>
      <c r="U321" s="25">
        <f t="shared" si="171"/>
        <v>1091.6853333333333</v>
      </c>
    </row>
    <row r="322" spans="1:23">
      <c r="A322" t="s">
        <v>52</v>
      </c>
      <c r="B322" t="s">
        <v>421</v>
      </c>
      <c r="C322">
        <v>5617</v>
      </c>
      <c r="D322" t="s">
        <v>59</v>
      </c>
      <c r="G322">
        <v>2007</v>
      </c>
      <c r="H322">
        <v>4</v>
      </c>
      <c r="I322">
        <v>0</v>
      </c>
      <c r="J322" t="s">
        <v>30</v>
      </c>
      <c r="K322">
        <v>7</v>
      </c>
      <c r="L322">
        <f t="shared" si="166"/>
        <v>2014</v>
      </c>
      <c r="M322" s="27">
        <f t="shared" si="167"/>
        <v>2014.3333333333333</v>
      </c>
      <c r="N322" s="5">
        <f>'2180 Trucks - Orig.'!O287</f>
        <v>79295.240000000005</v>
      </c>
      <c r="O322" s="5">
        <f t="shared" si="168"/>
        <v>79295.240000000005</v>
      </c>
      <c r="P322" s="5">
        <f t="shared" si="169"/>
        <v>943.99095238095242</v>
      </c>
      <c r="Q322" s="5">
        <f t="shared" si="170"/>
        <v>11327.891428571429</v>
      </c>
      <c r="R322" s="5">
        <f t="shared" si="172"/>
        <v>0</v>
      </c>
      <c r="S322" s="5">
        <f t="shared" si="173"/>
        <v>79295.240000000005</v>
      </c>
      <c r="T322" s="5">
        <f t="shared" si="174"/>
        <v>79295.240000000005</v>
      </c>
      <c r="U322" s="5">
        <f t="shared" si="171"/>
        <v>0</v>
      </c>
      <c r="W322" t="s">
        <v>428</v>
      </c>
    </row>
    <row r="323" spans="1:23" s="24" customFormat="1">
      <c r="D323" s="24" t="s">
        <v>1022</v>
      </c>
      <c r="G323" s="24">
        <v>2018</v>
      </c>
      <c r="H323" s="24">
        <v>12</v>
      </c>
      <c r="I323" s="24">
        <v>0</v>
      </c>
      <c r="J323" s="24" t="s">
        <v>30</v>
      </c>
      <c r="K323" s="24">
        <f>+IF(L322-$O$3&gt;=3,L322-$O$3,3)</f>
        <v>3</v>
      </c>
      <c r="L323" s="24">
        <f t="shared" si="166"/>
        <v>2021</v>
      </c>
      <c r="M323" s="28">
        <f>+L323+(H323/12)</f>
        <v>2022</v>
      </c>
      <c r="N323" s="25">
        <f>'2180 Trucks - Orig.'!N287-'2180 Trucks'!N322</f>
        <v>19823.809999999998</v>
      </c>
      <c r="O323" s="25">
        <f>N323-N323*I323</f>
        <v>19823.809999999998</v>
      </c>
      <c r="P323" s="25">
        <f>O323/K323/12</f>
        <v>550.66138888888884</v>
      </c>
      <c r="Q323" s="25">
        <f>P323*12</f>
        <v>6607.9366666666665</v>
      </c>
      <c r="R323" s="25">
        <f t="shared" si="172"/>
        <v>6607.9366666666665</v>
      </c>
      <c r="S323" s="25">
        <f t="shared" si="173"/>
        <v>0</v>
      </c>
      <c r="T323" s="25">
        <f t="shared" si="174"/>
        <v>6607.9366666666665</v>
      </c>
      <c r="U323" s="25">
        <f t="shared" si="171"/>
        <v>13215.873333333331</v>
      </c>
    </row>
    <row r="324" spans="1:23">
      <c r="A324" t="s">
        <v>52</v>
      </c>
      <c r="B324" t="s">
        <v>421</v>
      </c>
      <c r="C324">
        <v>5614</v>
      </c>
      <c r="D324" t="s">
        <v>166</v>
      </c>
      <c r="G324">
        <v>2007</v>
      </c>
      <c r="H324">
        <v>7</v>
      </c>
      <c r="I324">
        <v>0</v>
      </c>
      <c r="J324" t="s">
        <v>30</v>
      </c>
      <c r="K324">
        <v>3</v>
      </c>
      <c r="L324">
        <f t="shared" si="166"/>
        <v>2010</v>
      </c>
      <c r="M324" s="27">
        <f t="shared" si="167"/>
        <v>2010.5833333333333</v>
      </c>
      <c r="N324" s="5">
        <v>8452.2000000000007</v>
      </c>
      <c r="O324" s="5">
        <f t="shared" si="168"/>
        <v>8452.2000000000007</v>
      </c>
      <c r="P324" s="5">
        <f t="shared" si="169"/>
        <v>234.78333333333333</v>
      </c>
      <c r="Q324" s="5">
        <f t="shared" si="170"/>
        <v>2817.4</v>
      </c>
      <c r="R324" s="5">
        <f t="shared" si="172"/>
        <v>0</v>
      </c>
      <c r="S324" s="5">
        <f t="shared" si="173"/>
        <v>8452.2000000000007</v>
      </c>
      <c r="T324" s="5">
        <f t="shared" si="174"/>
        <v>8452.2000000000007</v>
      </c>
      <c r="U324" s="5">
        <f t="shared" si="171"/>
        <v>0</v>
      </c>
      <c r="W324" t="s">
        <v>428</v>
      </c>
    </row>
    <row r="325" spans="1:23">
      <c r="A325" t="s">
        <v>426</v>
      </c>
      <c r="B325" t="s">
        <v>475</v>
      </c>
      <c r="C325">
        <v>5621</v>
      </c>
      <c r="D325" t="s">
        <v>60</v>
      </c>
      <c r="G325">
        <v>2007</v>
      </c>
      <c r="H325">
        <v>12</v>
      </c>
      <c r="I325">
        <v>0</v>
      </c>
      <c r="J325" t="s">
        <v>30</v>
      </c>
      <c r="K325">
        <v>7</v>
      </c>
      <c r="L325">
        <f t="shared" si="166"/>
        <v>2014</v>
      </c>
      <c r="M325" s="27">
        <f t="shared" si="167"/>
        <v>2015</v>
      </c>
      <c r="N325" s="5">
        <f>'2180 Trucks - Orig.'!O289</f>
        <v>92342.271999999997</v>
      </c>
      <c r="O325" s="5">
        <f t="shared" si="168"/>
        <v>92342.271999999997</v>
      </c>
      <c r="P325" s="5">
        <f t="shared" si="169"/>
        <v>1099.3127619047618</v>
      </c>
      <c r="Q325" s="5">
        <f t="shared" si="170"/>
        <v>13191.753142857142</v>
      </c>
      <c r="R325" s="5">
        <f t="shared" si="172"/>
        <v>0</v>
      </c>
      <c r="S325" s="5">
        <f t="shared" si="173"/>
        <v>92342.271999999997</v>
      </c>
      <c r="T325" s="5">
        <f t="shared" si="174"/>
        <v>92342.271999999997</v>
      </c>
      <c r="U325" s="5">
        <f t="shared" si="171"/>
        <v>0</v>
      </c>
      <c r="W325" t="s">
        <v>428</v>
      </c>
    </row>
    <row r="326" spans="1:23" s="24" customFormat="1">
      <c r="D326" s="24" t="s">
        <v>1025</v>
      </c>
      <c r="G326" s="24">
        <v>2018</v>
      </c>
      <c r="H326" s="24">
        <v>12</v>
      </c>
      <c r="I326" s="24">
        <v>0</v>
      </c>
      <c r="J326" s="24" t="s">
        <v>30</v>
      </c>
      <c r="K326" s="24">
        <f>+IF(L325-$O$3&gt;=3,L325-$O$3,3)</f>
        <v>3</v>
      </c>
      <c r="L326" s="24">
        <f t="shared" si="166"/>
        <v>2021</v>
      </c>
      <c r="M326" s="28">
        <f>+L326+(H326/12)</f>
        <v>2022</v>
      </c>
      <c r="N326" s="25">
        <f>'2180 Trucks - Orig.'!N289-'2180 Trucks'!N325</f>
        <v>23085.567999999999</v>
      </c>
      <c r="O326" s="25">
        <f>N326-N326*I326</f>
        <v>23085.567999999999</v>
      </c>
      <c r="P326" s="25">
        <f>O326/K326/12</f>
        <v>641.26577777777777</v>
      </c>
      <c r="Q326" s="25">
        <f>P326*12</f>
        <v>7695.1893333333337</v>
      </c>
      <c r="R326" s="25">
        <f t="shared" si="172"/>
        <v>7695.1893333333337</v>
      </c>
      <c r="S326" s="25">
        <f t="shared" si="173"/>
        <v>0</v>
      </c>
      <c r="T326" s="25">
        <f t="shared" si="174"/>
        <v>7695.1893333333337</v>
      </c>
      <c r="U326" s="25">
        <f t="shared" si="171"/>
        <v>15390.378666666666</v>
      </c>
    </row>
    <row r="327" spans="1:23">
      <c r="A327" t="s">
        <v>52</v>
      </c>
      <c r="C327">
        <v>5614</v>
      </c>
      <c r="D327" t="s">
        <v>722</v>
      </c>
      <c r="E327">
        <v>112504</v>
      </c>
      <c r="F327">
        <v>90536</v>
      </c>
      <c r="G327">
        <v>2014</v>
      </c>
      <c r="H327">
        <v>2</v>
      </c>
      <c r="I327">
        <v>0</v>
      </c>
      <c r="J327" t="s">
        <v>30</v>
      </c>
      <c r="K327">
        <v>3</v>
      </c>
      <c r="L327">
        <f t="shared" si="166"/>
        <v>2017</v>
      </c>
      <c r="M327" s="27">
        <f t="shared" si="167"/>
        <v>2017.1666666666667</v>
      </c>
      <c r="N327" s="5">
        <v>8067.17</v>
      </c>
      <c r="O327" s="5">
        <f t="shared" si="168"/>
        <v>8067.17</v>
      </c>
      <c r="P327" s="5">
        <f t="shared" si="169"/>
        <v>224.08805555555557</v>
      </c>
      <c r="Q327" s="5">
        <f t="shared" si="170"/>
        <v>2689.0566666666668</v>
      </c>
      <c r="R327" s="5">
        <f t="shared" si="172"/>
        <v>0</v>
      </c>
      <c r="S327" s="5">
        <f t="shared" si="173"/>
        <v>8067.17</v>
      </c>
      <c r="T327" s="5">
        <f t="shared" si="174"/>
        <v>8067.17</v>
      </c>
      <c r="U327" s="5">
        <f t="shared" si="171"/>
        <v>0</v>
      </c>
    </row>
    <row r="328" spans="1:23">
      <c r="C328">
        <v>5594</v>
      </c>
      <c r="D328" t="s">
        <v>861</v>
      </c>
      <c r="E328">
        <v>183497</v>
      </c>
      <c r="G328">
        <v>2017</v>
      </c>
      <c r="H328">
        <v>5</v>
      </c>
      <c r="I328">
        <v>0</v>
      </c>
      <c r="J328" t="s">
        <v>30</v>
      </c>
      <c r="K328">
        <v>3</v>
      </c>
      <c r="L328">
        <f t="shared" si="166"/>
        <v>2020</v>
      </c>
      <c r="M328" s="27">
        <f t="shared" si="167"/>
        <v>2020.4166666666667</v>
      </c>
      <c r="N328" s="5">
        <v>14357</v>
      </c>
      <c r="O328" s="5">
        <f t="shared" si="168"/>
        <v>14357</v>
      </c>
      <c r="P328" s="5">
        <f t="shared" si="169"/>
        <v>398.8055555555556</v>
      </c>
      <c r="Q328" s="5">
        <f t="shared" si="170"/>
        <v>4785.666666666667</v>
      </c>
      <c r="R328" s="5">
        <f t="shared" si="172"/>
        <v>4785.666666666667</v>
      </c>
      <c r="S328" s="5">
        <f t="shared" si="173"/>
        <v>4785.666666666667</v>
      </c>
      <c r="T328" s="5">
        <f t="shared" si="174"/>
        <v>9571.3333333333339</v>
      </c>
      <c r="U328" s="5">
        <f t="shared" si="171"/>
        <v>4785.6666666666661</v>
      </c>
    </row>
    <row r="329" spans="1:23">
      <c r="N329" s="5"/>
      <c r="O329" s="5"/>
      <c r="P329" s="5"/>
      <c r="Q329" s="5"/>
      <c r="R329" s="5"/>
      <c r="S329" s="5"/>
      <c r="T329" s="5"/>
      <c r="U329" s="5"/>
    </row>
    <row r="330" spans="1:23">
      <c r="N330" s="5"/>
      <c r="O330" s="5"/>
      <c r="P330" s="5"/>
      <c r="Q330" s="5"/>
      <c r="R330" s="5"/>
      <c r="S330" s="5"/>
      <c r="T330" s="5"/>
      <c r="U330" s="5"/>
    </row>
    <row r="331" spans="1:23">
      <c r="L331" s="6" t="s">
        <v>590</v>
      </c>
      <c r="N331" s="9">
        <f t="shared" ref="N331:U331" si="175">SUM(N291:N330)</f>
        <v>882782.36999999988</v>
      </c>
      <c r="O331" s="9">
        <f t="shared" si="175"/>
        <v>882782.36999999988</v>
      </c>
      <c r="P331" s="9">
        <f t="shared" si="175"/>
        <v>13707.87353174603</v>
      </c>
      <c r="Q331" s="9">
        <f t="shared" si="175"/>
        <v>164494.4823809524</v>
      </c>
      <c r="R331" s="9">
        <f t="shared" si="175"/>
        <v>61411.609999999986</v>
      </c>
      <c r="S331" s="9">
        <f t="shared" si="175"/>
        <v>703333.20666666667</v>
      </c>
      <c r="T331" s="9">
        <f t="shared" si="175"/>
        <v>764744.81666666665</v>
      </c>
      <c r="U331" s="9">
        <f t="shared" si="175"/>
        <v>118037.55333333334</v>
      </c>
    </row>
    <row r="332" spans="1:23">
      <c r="N332" s="5"/>
      <c r="O332" s="5"/>
      <c r="P332" s="5"/>
      <c r="Q332" s="5"/>
      <c r="R332" s="5"/>
      <c r="S332" s="5"/>
      <c r="T332" s="5"/>
      <c r="U332" s="5"/>
    </row>
    <row r="333" spans="1:23">
      <c r="N333" s="5"/>
      <c r="O333" s="5"/>
      <c r="P333" s="5"/>
      <c r="Q333" s="5"/>
      <c r="R333" s="5"/>
      <c r="S333" s="5"/>
      <c r="T333" s="5"/>
      <c r="U333" s="5"/>
    </row>
    <row r="334" spans="1:23">
      <c r="N334" s="5"/>
      <c r="O334" s="5"/>
      <c r="P334" s="5"/>
      <c r="Q334" s="5"/>
      <c r="R334" s="5"/>
      <c r="S334" s="5"/>
      <c r="T334" s="5"/>
      <c r="U334" s="5"/>
    </row>
    <row r="335" spans="1:23">
      <c r="B335" s="4" t="s">
        <v>888</v>
      </c>
      <c r="N335" s="5"/>
      <c r="O335" s="5"/>
      <c r="P335" s="5"/>
      <c r="Q335" s="5"/>
      <c r="R335" s="5"/>
      <c r="S335" s="5"/>
      <c r="T335" s="5"/>
      <c r="U335" s="5"/>
    </row>
    <row r="336" spans="1:23">
      <c r="A336" t="s">
        <v>34</v>
      </c>
      <c r="B336" t="s">
        <v>344</v>
      </c>
      <c r="C336">
        <v>9578</v>
      </c>
      <c r="D336" t="s">
        <v>181</v>
      </c>
      <c r="G336">
        <v>2005</v>
      </c>
      <c r="H336">
        <v>8</v>
      </c>
      <c r="I336">
        <v>0</v>
      </c>
      <c r="J336" t="s">
        <v>30</v>
      </c>
      <c r="K336">
        <v>5</v>
      </c>
      <c r="L336">
        <f t="shared" ref="L336:L349" si="176">G336+K336</f>
        <v>2010</v>
      </c>
      <c r="M336" s="27">
        <f t="shared" ref="M336:M349" si="177">+L336+(H336/12)</f>
        <v>2010.6666666666667</v>
      </c>
      <c r="N336" s="5">
        <f>'2180 Trucks - Orig.'!O24</f>
        <v>15096.105</v>
      </c>
      <c r="O336" s="5">
        <f t="shared" ref="O336:O349" si="178">N336-N336*I336</f>
        <v>15096.105</v>
      </c>
      <c r="P336" s="5">
        <f t="shared" ref="P336:P349" si="179">O336/K336/12</f>
        <v>251.60175000000001</v>
      </c>
      <c r="Q336" s="5">
        <f t="shared" ref="Q336:Q349" si="180">P336*12</f>
        <v>3019.221</v>
      </c>
      <c r="R336" s="5">
        <f t="shared" ref="R336:R349" si="181">+IF(M336&lt;=$O$5,0,IF(L336&gt;$O$4,Q336,(P336*H336)))</f>
        <v>0</v>
      </c>
      <c r="S336" s="5">
        <f t="shared" ref="S336:S349" si="182">+IF(R336=0,N336,IF($O$3-G336&lt;1,0,(($O$3-G336)*Q336)))</f>
        <v>15096.105</v>
      </c>
      <c r="T336" s="5">
        <f t="shared" ref="T336:T349" si="183">+IF(R336=0,S336,S336+R336)</f>
        <v>15096.105</v>
      </c>
      <c r="U336" s="5">
        <f t="shared" ref="U336:U349" si="184">+N336-T336</f>
        <v>0</v>
      </c>
    </row>
    <row r="337" spans="1:21" s="24" customFormat="1">
      <c r="D337" s="24" t="s">
        <v>964</v>
      </c>
      <c r="G337" s="24">
        <v>2018</v>
      </c>
      <c r="H337" s="24">
        <v>12</v>
      </c>
      <c r="I337" s="24">
        <v>0</v>
      </c>
      <c r="J337" s="24" t="s">
        <v>30</v>
      </c>
      <c r="K337" s="24">
        <f>+IF(L336-$O$3&gt;=3,L336-$O$3,3)</f>
        <v>3</v>
      </c>
      <c r="L337" s="24">
        <f t="shared" si="176"/>
        <v>2021</v>
      </c>
      <c r="M337" s="28">
        <f t="shared" si="177"/>
        <v>2022</v>
      </c>
      <c r="N337" s="25">
        <f>'2180 Trucks - Orig.'!N24-'2180 Trucks'!N336</f>
        <v>7435.3950000000004</v>
      </c>
      <c r="O337" s="25">
        <f t="shared" si="178"/>
        <v>7435.3950000000004</v>
      </c>
      <c r="P337" s="25">
        <f t="shared" si="179"/>
        <v>206.53875000000002</v>
      </c>
      <c r="Q337" s="25">
        <f t="shared" si="180"/>
        <v>2478.4650000000001</v>
      </c>
      <c r="R337" s="25">
        <f t="shared" si="181"/>
        <v>2478.4650000000001</v>
      </c>
      <c r="S337" s="25">
        <f t="shared" si="182"/>
        <v>0</v>
      </c>
      <c r="T337" s="25">
        <f t="shared" si="183"/>
        <v>2478.4650000000001</v>
      </c>
      <c r="U337" s="25">
        <f t="shared" si="184"/>
        <v>4956.93</v>
      </c>
    </row>
    <row r="338" spans="1:21">
      <c r="A338" t="s">
        <v>161</v>
      </c>
      <c r="B338" t="s">
        <v>345</v>
      </c>
      <c r="C338">
        <v>4517</v>
      </c>
      <c r="D338" t="s">
        <v>595</v>
      </c>
      <c r="E338">
        <v>86841</v>
      </c>
      <c r="G338">
        <v>2004</v>
      </c>
      <c r="H338">
        <v>2</v>
      </c>
      <c r="I338">
        <v>0</v>
      </c>
      <c r="J338" t="s">
        <v>30</v>
      </c>
      <c r="K338">
        <v>7</v>
      </c>
      <c r="L338">
        <f t="shared" si="176"/>
        <v>2011</v>
      </c>
      <c r="M338" s="27">
        <f t="shared" si="177"/>
        <v>2011.1666666666667</v>
      </c>
      <c r="N338" s="5">
        <f>'2180 Trucks - Orig.'!O21</f>
        <v>57530</v>
      </c>
      <c r="O338" s="5">
        <f t="shared" si="178"/>
        <v>57530</v>
      </c>
      <c r="P338" s="5">
        <f t="shared" si="179"/>
        <v>684.88095238095241</v>
      </c>
      <c r="Q338" s="5">
        <f t="shared" si="180"/>
        <v>8218.5714285714294</v>
      </c>
      <c r="R338" s="5">
        <f t="shared" si="181"/>
        <v>0</v>
      </c>
      <c r="S338" s="5">
        <f t="shared" si="182"/>
        <v>57530</v>
      </c>
      <c r="T338" s="5">
        <f t="shared" si="183"/>
        <v>57530</v>
      </c>
      <c r="U338" s="5">
        <f t="shared" si="184"/>
        <v>0</v>
      </c>
    </row>
    <row r="339" spans="1:21" s="24" customFormat="1">
      <c r="D339" s="24" t="s">
        <v>961</v>
      </c>
      <c r="G339" s="24">
        <v>2018</v>
      </c>
      <c r="H339" s="24">
        <v>12</v>
      </c>
      <c r="I339" s="24">
        <v>0</v>
      </c>
      <c r="J339" s="24" t="s">
        <v>30</v>
      </c>
      <c r="K339" s="24">
        <f>+IF(L338-$O$3&gt;=3,L338-$O$3,3)</f>
        <v>3</v>
      </c>
      <c r="L339" s="24">
        <f t="shared" si="176"/>
        <v>2021</v>
      </c>
      <c r="M339" s="28">
        <f t="shared" si="177"/>
        <v>2022</v>
      </c>
      <c r="N339" s="25">
        <f>'2180 Trucks - Orig.'!N21-'2180 Trucks'!N338</f>
        <v>14382.5</v>
      </c>
      <c r="O339" s="25">
        <f t="shared" si="178"/>
        <v>14382.5</v>
      </c>
      <c r="P339" s="25">
        <f t="shared" si="179"/>
        <v>399.51388888888891</v>
      </c>
      <c r="Q339" s="25">
        <f t="shared" si="180"/>
        <v>4794.166666666667</v>
      </c>
      <c r="R339" s="25">
        <f t="shared" si="181"/>
        <v>4794.166666666667</v>
      </c>
      <c r="S339" s="25">
        <f t="shared" si="182"/>
        <v>0</v>
      </c>
      <c r="T339" s="25">
        <f t="shared" si="183"/>
        <v>4794.166666666667</v>
      </c>
      <c r="U339" s="25">
        <f t="shared" si="184"/>
        <v>9588.3333333333321</v>
      </c>
    </row>
    <row r="340" spans="1:21">
      <c r="A340" t="s">
        <v>36</v>
      </c>
      <c r="B340" t="s">
        <v>344</v>
      </c>
      <c r="C340">
        <v>9575</v>
      </c>
      <c r="D340" t="s">
        <v>204</v>
      </c>
      <c r="G340">
        <v>2005</v>
      </c>
      <c r="H340">
        <v>11</v>
      </c>
      <c r="I340">
        <v>0</v>
      </c>
      <c r="J340" t="s">
        <v>30</v>
      </c>
      <c r="K340">
        <v>7</v>
      </c>
      <c r="L340">
        <f t="shared" si="176"/>
        <v>2012</v>
      </c>
      <c r="M340" s="27">
        <f t="shared" si="177"/>
        <v>2012.9166666666667</v>
      </c>
      <c r="N340" s="5">
        <f>'2180 Trucks - Orig.'!O184</f>
        <v>30223.408000000003</v>
      </c>
      <c r="O340" s="5">
        <f t="shared" si="178"/>
        <v>30223.408000000003</v>
      </c>
      <c r="P340" s="5">
        <f t="shared" si="179"/>
        <v>359.80247619047623</v>
      </c>
      <c r="Q340" s="5">
        <f t="shared" si="180"/>
        <v>4317.6297142857147</v>
      </c>
      <c r="R340" s="5">
        <f t="shared" si="181"/>
        <v>0</v>
      </c>
      <c r="S340" s="5">
        <f t="shared" si="182"/>
        <v>30223.408000000003</v>
      </c>
      <c r="T340" s="5">
        <f t="shared" si="183"/>
        <v>30223.408000000003</v>
      </c>
      <c r="U340" s="5">
        <f t="shared" si="184"/>
        <v>0</v>
      </c>
    </row>
    <row r="341" spans="1:21" s="24" customFormat="1">
      <c r="D341" s="24" t="s">
        <v>994</v>
      </c>
      <c r="G341" s="24">
        <v>2018</v>
      </c>
      <c r="H341" s="24">
        <v>12</v>
      </c>
      <c r="I341" s="24">
        <v>0</v>
      </c>
      <c r="J341" s="24" t="s">
        <v>30</v>
      </c>
      <c r="K341" s="24">
        <f>+IF(L340-$O$3&gt;=3,L340-$O$3,3)</f>
        <v>3</v>
      </c>
      <c r="L341" s="24">
        <f t="shared" si="176"/>
        <v>2021</v>
      </c>
      <c r="M341" s="28">
        <f t="shared" si="177"/>
        <v>2022</v>
      </c>
      <c r="N341" s="25">
        <f>'2180 Trucks - Orig.'!N184-'2180 Trucks'!N340</f>
        <v>7555.851999999999</v>
      </c>
      <c r="O341" s="25">
        <f t="shared" si="178"/>
        <v>7555.851999999999</v>
      </c>
      <c r="P341" s="25">
        <f t="shared" si="179"/>
        <v>209.88477777777777</v>
      </c>
      <c r="Q341" s="25">
        <f t="shared" si="180"/>
        <v>2518.6173333333331</v>
      </c>
      <c r="R341" s="25">
        <f t="shared" si="181"/>
        <v>2518.6173333333331</v>
      </c>
      <c r="S341" s="25">
        <f t="shared" si="182"/>
        <v>0</v>
      </c>
      <c r="T341" s="25">
        <f t="shared" si="183"/>
        <v>2518.6173333333331</v>
      </c>
      <c r="U341" s="25">
        <f t="shared" si="184"/>
        <v>5037.2346666666654</v>
      </c>
    </row>
    <row r="342" spans="1:21">
      <c r="A342" t="s">
        <v>34</v>
      </c>
      <c r="B342" t="s">
        <v>344</v>
      </c>
      <c r="C342">
        <v>9572</v>
      </c>
      <c r="D342" t="s">
        <v>463</v>
      </c>
      <c r="E342">
        <v>78951</v>
      </c>
      <c r="F342" t="s">
        <v>372</v>
      </c>
      <c r="G342">
        <v>2010</v>
      </c>
      <c r="H342">
        <v>12</v>
      </c>
      <c r="I342">
        <v>0</v>
      </c>
      <c r="J342" t="s">
        <v>30</v>
      </c>
      <c r="K342">
        <v>5</v>
      </c>
      <c r="L342">
        <f t="shared" si="176"/>
        <v>2015</v>
      </c>
      <c r="M342" s="27">
        <f t="shared" si="177"/>
        <v>2016</v>
      </c>
      <c r="N342" s="5">
        <f>'2180 Trucks - Orig.'!O56</f>
        <v>10553.5586</v>
      </c>
      <c r="O342" s="5">
        <f t="shared" si="178"/>
        <v>10553.5586</v>
      </c>
      <c r="P342" s="5">
        <f t="shared" si="179"/>
        <v>175.89264333333335</v>
      </c>
      <c r="Q342" s="5">
        <f t="shared" si="180"/>
        <v>2110.7117200000002</v>
      </c>
      <c r="R342" s="5">
        <f t="shared" si="181"/>
        <v>0</v>
      </c>
      <c r="S342" s="5">
        <f t="shared" si="182"/>
        <v>10553.5586</v>
      </c>
      <c r="T342" s="5">
        <f t="shared" si="183"/>
        <v>10553.5586</v>
      </c>
      <c r="U342" s="5">
        <f t="shared" si="184"/>
        <v>0</v>
      </c>
    </row>
    <row r="343" spans="1:21" s="24" customFormat="1">
      <c r="D343" s="24" t="s">
        <v>980</v>
      </c>
      <c r="G343" s="24">
        <v>2018</v>
      </c>
      <c r="H343" s="24">
        <v>12</v>
      </c>
      <c r="I343" s="24">
        <v>0</v>
      </c>
      <c r="J343" s="24" t="s">
        <v>30</v>
      </c>
      <c r="K343" s="24">
        <f>+IF(L342-$O$3&gt;=3,L342-$O$3,3)</f>
        <v>3</v>
      </c>
      <c r="L343" s="24">
        <f t="shared" si="176"/>
        <v>2021</v>
      </c>
      <c r="M343" s="28">
        <f t="shared" si="177"/>
        <v>2022</v>
      </c>
      <c r="N343" s="25">
        <f>'2180 Trucks - Orig.'!N56-'2180 Trucks'!N342</f>
        <v>5198.0213999999996</v>
      </c>
      <c r="O343" s="25">
        <f t="shared" si="178"/>
        <v>5198.0213999999996</v>
      </c>
      <c r="P343" s="25">
        <f t="shared" si="179"/>
        <v>144.38948333333332</v>
      </c>
      <c r="Q343" s="25">
        <f t="shared" si="180"/>
        <v>1732.6737999999998</v>
      </c>
      <c r="R343" s="25">
        <f t="shared" si="181"/>
        <v>1732.6737999999998</v>
      </c>
      <c r="S343" s="25">
        <f t="shared" si="182"/>
        <v>0</v>
      </c>
      <c r="T343" s="25">
        <f t="shared" si="183"/>
        <v>1732.6737999999998</v>
      </c>
      <c r="U343" s="25">
        <f t="shared" si="184"/>
        <v>3465.3476000000001</v>
      </c>
    </row>
    <row r="344" spans="1:21">
      <c r="B344" t="s">
        <v>344</v>
      </c>
      <c r="C344">
        <v>9570</v>
      </c>
      <c r="D344" t="s">
        <v>679</v>
      </c>
      <c r="E344">
        <v>105945</v>
      </c>
      <c r="G344">
        <v>2013</v>
      </c>
      <c r="H344">
        <v>7</v>
      </c>
      <c r="I344">
        <v>0</v>
      </c>
      <c r="J344" t="s">
        <v>30</v>
      </c>
      <c r="K344">
        <v>10</v>
      </c>
      <c r="L344">
        <f t="shared" si="176"/>
        <v>2023</v>
      </c>
      <c r="M344" s="27">
        <f t="shared" si="177"/>
        <v>2023.5833333333333</v>
      </c>
      <c r="N344" s="5">
        <v>53720.41</v>
      </c>
      <c r="O344" s="5">
        <f t="shared" si="178"/>
        <v>53720.41</v>
      </c>
      <c r="P344" s="5">
        <f t="shared" si="179"/>
        <v>447.67008333333337</v>
      </c>
      <c r="Q344" s="5">
        <f t="shared" si="180"/>
        <v>5372.0410000000002</v>
      </c>
      <c r="R344" s="5">
        <f t="shared" si="181"/>
        <v>5372.0410000000002</v>
      </c>
      <c r="S344" s="5">
        <f t="shared" si="182"/>
        <v>26860.205000000002</v>
      </c>
      <c r="T344" s="5">
        <f t="shared" si="183"/>
        <v>32232.246000000003</v>
      </c>
      <c r="U344" s="5">
        <f t="shared" si="184"/>
        <v>21488.164000000001</v>
      </c>
    </row>
    <row r="345" spans="1:21">
      <c r="B345" t="s">
        <v>344</v>
      </c>
      <c r="C345">
        <v>3308</v>
      </c>
      <c r="D345" t="s">
        <v>685</v>
      </c>
      <c r="E345">
        <v>107324</v>
      </c>
      <c r="G345">
        <v>2013</v>
      </c>
      <c r="H345">
        <v>9</v>
      </c>
      <c r="I345">
        <v>0</v>
      </c>
      <c r="J345" t="s">
        <v>30</v>
      </c>
      <c r="K345">
        <v>6</v>
      </c>
      <c r="L345">
        <f t="shared" si="176"/>
        <v>2019</v>
      </c>
      <c r="M345" s="27">
        <f t="shared" si="177"/>
        <v>2019.75</v>
      </c>
      <c r="N345" s="5">
        <v>125924.63</v>
      </c>
      <c r="O345" s="5">
        <f t="shared" si="178"/>
        <v>125924.63</v>
      </c>
      <c r="P345" s="5">
        <f t="shared" si="179"/>
        <v>1748.9531944444445</v>
      </c>
      <c r="Q345" s="5">
        <f t="shared" si="180"/>
        <v>20987.438333333335</v>
      </c>
      <c r="R345" s="5">
        <f t="shared" si="181"/>
        <v>15740.578750000001</v>
      </c>
      <c r="S345" s="5">
        <f t="shared" si="182"/>
        <v>104937.19166666668</v>
      </c>
      <c r="T345" s="5">
        <f t="shared" si="183"/>
        <v>120677.77041666668</v>
      </c>
      <c r="U345" s="5">
        <f t="shared" si="184"/>
        <v>5246.8595833333238</v>
      </c>
    </row>
    <row r="346" spans="1:21">
      <c r="B346" t="s">
        <v>344</v>
      </c>
      <c r="C346">
        <v>3308</v>
      </c>
      <c r="D346" t="s">
        <v>686</v>
      </c>
      <c r="E346">
        <v>107573</v>
      </c>
      <c r="G346">
        <v>2013</v>
      </c>
      <c r="H346">
        <v>9</v>
      </c>
      <c r="I346">
        <v>0</v>
      </c>
      <c r="J346" t="s">
        <v>30</v>
      </c>
      <c r="K346">
        <v>7</v>
      </c>
      <c r="L346">
        <f t="shared" si="176"/>
        <v>2020</v>
      </c>
      <c r="M346" s="27">
        <f t="shared" si="177"/>
        <v>2020.75</v>
      </c>
      <c r="N346" s="5">
        <v>602.30999999999995</v>
      </c>
      <c r="O346" s="5">
        <f t="shared" si="178"/>
        <v>602.30999999999995</v>
      </c>
      <c r="P346" s="5">
        <f t="shared" si="179"/>
        <v>7.1703571428571422</v>
      </c>
      <c r="Q346" s="5">
        <f t="shared" si="180"/>
        <v>86.044285714285706</v>
      </c>
      <c r="R346" s="5">
        <f t="shared" si="181"/>
        <v>86.044285714285706</v>
      </c>
      <c r="S346" s="5">
        <f t="shared" si="182"/>
        <v>430.22142857142853</v>
      </c>
      <c r="T346" s="5">
        <f t="shared" si="183"/>
        <v>516.26571428571424</v>
      </c>
      <c r="U346" s="5">
        <f t="shared" si="184"/>
        <v>86.044285714285706</v>
      </c>
    </row>
    <row r="347" spans="1:21">
      <c r="B347" t="s">
        <v>344</v>
      </c>
      <c r="C347">
        <v>9560</v>
      </c>
      <c r="D347" t="s">
        <v>715</v>
      </c>
      <c r="E347">
        <v>114984</v>
      </c>
      <c r="G347">
        <v>2014</v>
      </c>
      <c r="H347">
        <v>8</v>
      </c>
      <c r="I347">
        <v>0</v>
      </c>
      <c r="J347" t="s">
        <v>30</v>
      </c>
      <c r="K347">
        <v>10</v>
      </c>
      <c r="L347">
        <f t="shared" si="176"/>
        <v>2024</v>
      </c>
      <c r="M347" s="27">
        <f t="shared" si="177"/>
        <v>2024.6666666666667</v>
      </c>
      <c r="N347" s="5">
        <v>59098.89</v>
      </c>
      <c r="O347" s="5">
        <f t="shared" si="178"/>
        <v>59098.89</v>
      </c>
      <c r="P347" s="5">
        <f t="shared" si="179"/>
        <v>492.49074999999999</v>
      </c>
      <c r="Q347" s="5">
        <f t="shared" si="180"/>
        <v>5909.8890000000001</v>
      </c>
      <c r="R347" s="5">
        <f t="shared" si="181"/>
        <v>5909.8890000000001</v>
      </c>
      <c r="S347" s="5">
        <f t="shared" si="182"/>
        <v>23639.556</v>
      </c>
      <c r="T347" s="5">
        <f t="shared" si="183"/>
        <v>29549.445</v>
      </c>
      <c r="U347" s="5">
        <f t="shared" si="184"/>
        <v>29549.445</v>
      </c>
    </row>
    <row r="348" spans="1:21">
      <c r="B348" t="s">
        <v>344</v>
      </c>
      <c r="C348">
        <v>4521</v>
      </c>
      <c r="D348" t="s">
        <v>838</v>
      </c>
      <c r="E348">
        <v>169028</v>
      </c>
      <c r="G348">
        <v>2016</v>
      </c>
      <c r="H348">
        <v>9</v>
      </c>
      <c r="I348">
        <v>0</v>
      </c>
      <c r="J348" t="s">
        <v>30</v>
      </c>
      <c r="K348">
        <v>10</v>
      </c>
      <c r="L348">
        <f t="shared" si="176"/>
        <v>2026</v>
      </c>
      <c r="M348" s="27">
        <f t="shared" si="177"/>
        <v>2026.75</v>
      </c>
      <c r="N348" s="5">
        <v>198848.06</v>
      </c>
      <c r="O348" s="5">
        <f t="shared" si="178"/>
        <v>198848.06</v>
      </c>
      <c r="P348" s="5">
        <f t="shared" si="179"/>
        <v>1657.0671666666667</v>
      </c>
      <c r="Q348" s="5">
        <f t="shared" si="180"/>
        <v>19884.806</v>
      </c>
      <c r="R348" s="5">
        <f t="shared" si="181"/>
        <v>19884.806</v>
      </c>
      <c r="S348" s="5">
        <f t="shared" si="182"/>
        <v>39769.612000000001</v>
      </c>
      <c r="T348" s="5">
        <f t="shared" si="183"/>
        <v>59654.418000000005</v>
      </c>
      <c r="U348" s="5">
        <f t="shared" si="184"/>
        <v>139193.64199999999</v>
      </c>
    </row>
    <row r="349" spans="1:21">
      <c r="B349" t="s">
        <v>344</v>
      </c>
      <c r="C349">
        <v>9561</v>
      </c>
      <c r="D349" t="s">
        <v>883</v>
      </c>
      <c r="E349">
        <v>181935</v>
      </c>
      <c r="F349" t="s">
        <v>372</v>
      </c>
      <c r="G349">
        <v>2017</v>
      </c>
      <c r="H349">
        <v>5</v>
      </c>
      <c r="I349">
        <v>0</v>
      </c>
      <c r="J349" t="s">
        <v>30</v>
      </c>
      <c r="K349">
        <v>10</v>
      </c>
      <c r="L349">
        <f t="shared" si="176"/>
        <v>2027</v>
      </c>
      <c r="M349" s="27">
        <f t="shared" si="177"/>
        <v>2027.4166666666667</v>
      </c>
      <c r="N349" s="5">
        <v>60070.239999999998</v>
      </c>
      <c r="O349" s="5">
        <f t="shared" si="178"/>
        <v>60070.239999999998</v>
      </c>
      <c r="P349" s="5">
        <f t="shared" si="179"/>
        <v>500.58533333333327</v>
      </c>
      <c r="Q349" s="5">
        <f t="shared" si="180"/>
        <v>6007.0239999999994</v>
      </c>
      <c r="R349" s="5">
        <f t="shared" si="181"/>
        <v>6007.0239999999994</v>
      </c>
      <c r="S349" s="5">
        <f t="shared" si="182"/>
        <v>6007.0239999999994</v>
      </c>
      <c r="T349" s="5">
        <f t="shared" si="183"/>
        <v>12014.047999999999</v>
      </c>
      <c r="U349" s="5">
        <f t="shared" si="184"/>
        <v>48056.191999999995</v>
      </c>
    </row>
    <row r="350" spans="1:21" s="26" customFormat="1">
      <c r="A350" s="24"/>
      <c r="B350" s="24"/>
      <c r="C350" s="24"/>
      <c r="D350" s="24" t="s">
        <v>1201</v>
      </c>
      <c r="E350" s="24"/>
      <c r="F350" s="24"/>
      <c r="G350" s="24"/>
      <c r="H350" s="24"/>
      <c r="I350" s="24"/>
      <c r="J350" s="24"/>
      <c r="K350" s="24"/>
      <c r="L350" s="29"/>
      <c r="M350" s="28"/>
      <c r="N350" s="25"/>
      <c r="O350" s="25"/>
      <c r="P350" s="25"/>
      <c r="Q350" s="25"/>
      <c r="R350" s="25">
        <f>R472</f>
        <v>12236.881333333333</v>
      </c>
      <c r="S350" s="25"/>
      <c r="T350" s="25"/>
      <c r="U350" s="25">
        <v>0</v>
      </c>
    </row>
    <row r="351" spans="1:21">
      <c r="N351" s="5"/>
      <c r="O351" s="5"/>
      <c r="P351" s="5"/>
      <c r="Q351" s="5"/>
      <c r="R351" s="5"/>
      <c r="S351" s="5"/>
      <c r="T351" s="5"/>
      <c r="U351" s="5"/>
    </row>
    <row r="352" spans="1:21">
      <c r="L352" s="6" t="s">
        <v>890</v>
      </c>
      <c r="N352" s="9">
        <f t="shared" ref="N352:U352" si="185">+SUM(N336:N351)</f>
        <v>646239.38</v>
      </c>
      <c r="O352" s="9">
        <f t="shared" si="185"/>
        <v>646239.38</v>
      </c>
      <c r="P352" s="9">
        <f t="shared" si="185"/>
        <v>7286.4416068253968</v>
      </c>
      <c r="Q352" s="9">
        <f t="shared" si="185"/>
        <v>87437.299281904765</v>
      </c>
      <c r="R352" s="9">
        <f t="shared" si="185"/>
        <v>76761.187169047611</v>
      </c>
      <c r="S352" s="9">
        <f t="shared" si="185"/>
        <v>315046.88169523812</v>
      </c>
      <c r="T352" s="9">
        <f t="shared" si="185"/>
        <v>379571.18753095245</v>
      </c>
      <c r="U352" s="9">
        <f t="shared" si="185"/>
        <v>266668.19246904762</v>
      </c>
    </row>
    <row r="353" spans="1:22">
      <c r="N353" s="5"/>
      <c r="O353" s="5"/>
      <c r="P353" s="5"/>
      <c r="Q353" s="5"/>
      <c r="R353" s="5"/>
      <c r="S353" s="5"/>
      <c r="T353" s="5"/>
      <c r="U353" s="5"/>
    </row>
    <row r="354" spans="1:22">
      <c r="L354" s="6" t="s">
        <v>444</v>
      </c>
      <c r="N354" s="9">
        <f t="shared" ref="N354:U354" si="186">N231+N209+N150+N98+N331+N288+N261+N249+N278+N216+N103+N352+N108</f>
        <v>31463100.795714293</v>
      </c>
      <c r="O354" s="9">
        <f t="shared" si="186"/>
        <v>31340262.267114293</v>
      </c>
      <c r="P354" s="9">
        <f t="shared" si="186"/>
        <v>322170.69061531749</v>
      </c>
      <c r="Q354" s="9">
        <f t="shared" si="186"/>
        <v>3866048.2873838088</v>
      </c>
      <c r="R354" s="9">
        <f t="shared" si="186"/>
        <v>3022606.2638626969</v>
      </c>
      <c r="S354" s="9">
        <f t="shared" si="186"/>
        <v>9263259.5119476207</v>
      </c>
      <c r="T354" s="9">
        <f t="shared" si="186"/>
        <v>12186300.725143647</v>
      </c>
      <c r="U354" s="9">
        <f t="shared" si="186"/>
        <v>19283592.237237308</v>
      </c>
    </row>
    <row r="355" spans="1:22">
      <c r="N355" s="5"/>
      <c r="O355" s="5"/>
      <c r="P355" s="5"/>
      <c r="Q355" s="5"/>
      <c r="R355" s="5"/>
      <c r="S355" s="5"/>
      <c r="T355" s="5"/>
      <c r="U355" s="5"/>
    </row>
    <row r="356" spans="1:22">
      <c r="N356" s="5"/>
      <c r="O356" s="5"/>
      <c r="P356" s="5"/>
      <c r="Q356" s="62" t="s">
        <v>1202</v>
      </c>
      <c r="R356" s="5">
        <f>SUM(R350,R229,R206,R148,R96)-SUM(R462,R464,R466,R468,R470,R472,R474,R476,R480)</f>
        <v>0</v>
      </c>
      <c r="S356" s="5"/>
      <c r="T356" s="5"/>
      <c r="U356" s="5"/>
    </row>
    <row r="357" spans="1:22">
      <c r="N357" s="5"/>
      <c r="O357" s="5"/>
      <c r="P357" s="5"/>
      <c r="Q357" s="5"/>
      <c r="R357" s="5"/>
      <c r="S357" s="5"/>
      <c r="T357" s="5"/>
      <c r="U357" s="5"/>
    </row>
    <row r="358" spans="1:22" hidden="1" outlineLevel="1">
      <c r="N358" s="5"/>
      <c r="O358" s="5"/>
      <c r="P358" s="5"/>
      <c r="Q358" s="5"/>
      <c r="R358" s="5"/>
      <c r="S358" s="5"/>
      <c r="T358" s="5"/>
      <c r="U358" s="5"/>
    </row>
    <row r="359" spans="1:22" hidden="1" outlineLevel="1">
      <c r="B359" s="4" t="s">
        <v>946</v>
      </c>
      <c r="C359" s="4"/>
      <c r="D359" s="4"/>
      <c r="N359" s="5"/>
      <c r="O359" s="5"/>
      <c r="P359" s="5"/>
      <c r="Q359" s="5"/>
      <c r="R359" s="5"/>
      <c r="S359" s="5"/>
      <c r="T359" s="5"/>
      <c r="U359" s="5"/>
    </row>
    <row r="360" spans="1:22" hidden="1" outlineLevel="1">
      <c r="A360" t="s">
        <v>43</v>
      </c>
      <c r="B360" t="s">
        <v>342</v>
      </c>
      <c r="C360">
        <v>3577</v>
      </c>
      <c r="D360" t="s">
        <v>195</v>
      </c>
      <c r="E360">
        <v>66892</v>
      </c>
      <c r="G360">
        <v>2005</v>
      </c>
      <c r="H360">
        <v>3</v>
      </c>
      <c r="I360">
        <v>0.2</v>
      </c>
      <c r="J360" t="s">
        <v>30</v>
      </c>
      <c r="K360">
        <v>7</v>
      </c>
      <c r="L360">
        <f>G360+K360</f>
        <v>2012</v>
      </c>
      <c r="M360" s="27">
        <f>+L360+(H360/12)</f>
        <v>2012.25</v>
      </c>
      <c r="N360" s="5">
        <v>172559.21</v>
      </c>
      <c r="O360" s="5">
        <f>N360-N360*I360</f>
        <v>138047.36799999999</v>
      </c>
      <c r="P360" s="5">
        <f>O360/K360/12</f>
        <v>1643.4210476190474</v>
      </c>
      <c r="Q360" s="5">
        <f>P360*12</f>
        <v>19721.052571428569</v>
      </c>
      <c r="R360" s="5">
        <f>+IF(M360&lt;=$O$5,0,IF(L360&gt;$O$4,Q360,(P360*H360)))</f>
        <v>0</v>
      </c>
      <c r="S360" s="5">
        <f>+IF(R360=0,N360,IF($O$3-G360&lt;1,0,(($O$3-G360)*Q360)))</f>
        <v>172559.21</v>
      </c>
      <c r="T360" s="5">
        <f>+IF(R360=0,S360,S360+R360)</f>
        <v>172559.21</v>
      </c>
      <c r="U360" s="5">
        <f>+N360-T360</f>
        <v>0</v>
      </c>
      <c r="V360" t="s">
        <v>1038</v>
      </c>
    </row>
    <row r="361" spans="1:22" hidden="1" outlineLevel="1">
      <c r="A361" t="s">
        <v>770</v>
      </c>
      <c r="B361" t="s">
        <v>345</v>
      </c>
      <c r="C361">
        <v>2021</v>
      </c>
      <c r="D361" t="s">
        <v>556</v>
      </c>
      <c r="E361">
        <v>60746</v>
      </c>
      <c r="G361">
        <v>2003</v>
      </c>
      <c r="H361">
        <v>7</v>
      </c>
      <c r="I361">
        <v>0.2</v>
      </c>
      <c r="J361" t="s">
        <v>30</v>
      </c>
      <c r="K361">
        <v>7</v>
      </c>
      <c r="L361">
        <f>G361+K361</f>
        <v>2010</v>
      </c>
      <c r="M361" s="27">
        <f>+L361+(H361/12)</f>
        <v>2010.5833333333333</v>
      </c>
      <c r="N361" s="5">
        <f>164889.08+6244.2</f>
        <v>171133.28</v>
      </c>
      <c r="O361" s="5">
        <f>N361-N361*I361</f>
        <v>136906.62400000001</v>
      </c>
      <c r="P361" s="5">
        <f>O361/K361/12</f>
        <v>1629.8407619047621</v>
      </c>
      <c r="Q361" s="5">
        <f>P361*12</f>
        <v>19558.089142857145</v>
      </c>
      <c r="R361" s="5">
        <f>+IF(M361&lt;=$O$5,0,IF(L361&gt;$O$4,Q361,(P361*H361)))</f>
        <v>0</v>
      </c>
      <c r="S361" s="5">
        <f>+IF(R361=0,N361,IF($O$3-G361&lt;1,0,(($O$3-G361)*Q361)))</f>
        <v>171133.28</v>
      </c>
      <c r="T361" s="5">
        <f>+IF(R361=0,S361,S361+R361)</f>
        <v>171133.28</v>
      </c>
      <c r="U361" s="5">
        <f>+N361-T361</f>
        <v>0</v>
      </c>
      <c r="V361" t="s">
        <v>1038</v>
      </c>
    </row>
    <row r="362" spans="1:22" hidden="1" outlineLevel="1">
      <c r="A362" t="s">
        <v>34</v>
      </c>
      <c r="B362" t="s">
        <v>886</v>
      </c>
      <c r="C362">
        <v>627</v>
      </c>
      <c r="D362" t="s">
        <v>910</v>
      </c>
      <c r="E362">
        <v>187420</v>
      </c>
      <c r="G362">
        <v>2012</v>
      </c>
      <c r="H362">
        <v>1</v>
      </c>
      <c r="I362">
        <v>0</v>
      </c>
      <c r="J362" t="s">
        <v>30</v>
      </c>
      <c r="K362">
        <v>10</v>
      </c>
      <c r="L362">
        <f>G362+K362</f>
        <v>2022</v>
      </c>
      <c r="M362" s="27">
        <f>+L362+(H362/12)</f>
        <v>2022.0833333333333</v>
      </c>
      <c r="N362" s="5">
        <v>247726.06</v>
      </c>
      <c r="O362" s="5">
        <f>N362-N362*I362</f>
        <v>247726.06</v>
      </c>
      <c r="P362" s="5">
        <f>O362/K362/12</f>
        <v>2064.3838333333333</v>
      </c>
      <c r="Q362" s="5">
        <f>P362*12</f>
        <v>24772.606</v>
      </c>
      <c r="R362" s="5">
        <f>+IF(M362&lt;=$O$5,0,IF(L362&gt;$O$4,Q362,(P362*H362)))</f>
        <v>24772.606</v>
      </c>
      <c r="S362" s="5">
        <f>+IF(R362=0,N362,IF($O$3-G362&lt;1,0,(($O$3-G362)*Q362)))</f>
        <v>148635.636</v>
      </c>
      <c r="T362" s="5">
        <f>+IF(R362=0,S362,S362+R362)</f>
        <v>173408.242</v>
      </c>
      <c r="U362" s="5">
        <f>+N362-T362</f>
        <v>74317.817999999999</v>
      </c>
      <c r="V362" t="s">
        <v>1037</v>
      </c>
    </row>
    <row r="363" spans="1:22" hidden="1" outlineLevel="1">
      <c r="A363" t="s">
        <v>770</v>
      </c>
      <c r="B363" t="s">
        <v>345</v>
      </c>
      <c r="C363">
        <v>2021</v>
      </c>
      <c r="D363" t="s">
        <v>371</v>
      </c>
      <c r="E363" t="s">
        <v>370</v>
      </c>
      <c r="F363">
        <v>60747</v>
      </c>
      <c r="G363">
        <v>2010</v>
      </c>
      <c r="H363">
        <v>1</v>
      </c>
      <c r="I363">
        <v>0</v>
      </c>
      <c r="J363" t="s">
        <v>30</v>
      </c>
      <c r="K363">
        <v>3</v>
      </c>
      <c r="L363">
        <f>G363+K363</f>
        <v>2013</v>
      </c>
      <c r="M363" s="27">
        <f>+L363+(H363/12)</f>
        <v>2013.0833333333333</v>
      </c>
      <c r="N363" s="5">
        <v>10491.67</v>
      </c>
      <c r="O363" s="5">
        <f>N363-N363*I363</f>
        <v>10491.67</v>
      </c>
      <c r="P363" s="5">
        <f>O363/K363/12</f>
        <v>291.4352777777778</v>
      </c>
      <c r="Q363" s="5">
        <f>P363*12</f>
        <v>3497.2233333333334</v>
      </c>
      <c r="R363" s="5">
        <f>+IF(M363&lt;=$O$5,0,IF(L363&gt;$O$4,Q363,(P363*H363)))</f>
        <v>0</v>
      </c>
      <c r="S363" s="5">
        <f>+IF(R363=0,N363,IF($O$3-G363&lt;1,0,(($O$3-G363)*Q363)))</f>
        <v>10491.67</v>
      </c>
      <c r="T363" s="5">
        <f>+IF(R363=0,S363,S363+R363)</f>
        <v>10491.67</v>
      </c>
      <c r="U363" s="5">
        <f>+N363-T363</f>
        <v>0</v>
      </c>
      <c r="V363" t="s">
        <v>1039</v>
      </c>
    </row>
    <row r="364" spans="1:22" hidden="1" outlineLevel="1">
      <c r="A364" t="s">
        <v>34</v>
      </c>
      <c r="B364" t="s">
        <v>345</v>
      </c>
      <c r="C364">
        <v>2044</v>
      </c>
      <c r="D364" t="s">
        <v>748</v>
      </c>
      <c r="E364" t="s">
        <v>749</v>
      </c>
      <c r="G364">
        <v>2014</v>
      </c>
      <c r="H364">
        <v>12</v>
      </c>
      <c r="I364">
        <v>0</v>
      </c>
      <c r="J364" t="s">
        <v>30</v>
      </c>
      <c r="K364">
        <v>5</v>
      </c>
      <c r="L364">
        <f>G364+K364</f>
        <v>2019</v>
      </c>
      <c r="M364" s="27">
        <f>+L364+(H364/12)</f>
        <v>2020</v>
      </c>
      <c r="N364" s="5">
        <f>257933.15+22647</f>
        <v>280580.15000000002</v>
      </c>
      <c r="O364" s="5">
        <f>N364-N364*I364</f>
        <v>280580.15000000002</v>
      </c>
      <c r="P364" s="5">
        <f>O364/K364/12</f>
        <v>4676.3358333333335</v>
      </c>
      <c r="Q364" s="5">
        <f>P364*12</f>
        <v>56116.03</v>
      </c>
      <c r="R364" s="5">
        <f>+IF(M364&lt;=$O$5,0,IF(L364&gt;$O$4,Q364,(P364*H364)))</f>
        <v>56116.03</v>
      </c>
      <c r="S364" s="5">
        <f>+IF(R364=0,N364,IF($O$3-G364&lt;1,0,(($O$3-G364)*Q364)))</f>
        <v>224464.12</v>
      </c>
      <c r="T364" s="5">
        <f>+IF(R364=0,S364,S364+R364)</f>
        <v>280580.15000000002</v>
      </c>
      <c r="U364" s="5">
        <f>+N364-T364</f>
        <v>0</v>
      </c>
    </row>
    <row r="365" spans="1:22" hidden="1" outlineLevel="1">
      <c r="N365" s="5"/>
      <c r="O365" s="5"/>
      <c r="P365" s="5"/>
      <c r="Q365" s="5"/>
      <c r="R365" s="5"/>
      <c r="S365" s="5"/>
      <c r="T365" s="5"/>
      <c r="U365" s="5"/>
    </row>
    <row r="366" spans="1:22" hidden="1" outlineLevel="1">
      <c r="N366" s="5"/>
      <c r="O366" s="5"/>
      <c r="P366" s="5"/>
      <c r="Q366" s="5"/>
      <c r="R366" s="5"/>
      <c r="S366" s="5"/>
      <c r="T366" s="5"/>
      <c r="U366" s="5"/>
    </row>
    <row r="367" spans="1:22" hidden="1" outlineLevel="1">
      <c r="B367" s="4" t="s">
        <v>1126</v>
      </c>
      <c r="C367" s="4"/>
      <c r="D367" s="4"/>
      <c r="N367" s="5"/>
      <c r="O367" s="5"/>
      <c r="P367" s="5"/>
      <c r="Q367" s="5"/>
      <c r="R367" s="5"/>
      <c r="S367" s="5"/>
      <c r="T367" s="5"/>
      <c r="U367" s="5"/>
    </row>
    <row r="368" spans="1:22" hidden="1" outlineLevel="1">
      <c r="A368" t="s">
        <v>47</v>
      </c>
      <c r="B368" t="s">
        <v>343</v>
      </c>
      <c r="C368">
        <v>4051</v>
      </c>
      <c r="D368" t="s">
        <v>209</v>
      </c>
      <c r="G368">
        <v>2006</v>
      </c>
      <c r="H368">
        <v>5</v>
      </c>
      <c r="I368">
        <v>0</v>
      </c>
      <c r="J368" t="s">
        <v>30</v>
      </c>
      <c r="K368">
        <v>7</v>
      </c>
      <c r="L368">
        <f t="shared" ref="L368:L399" si="187">G368+K368</f>
        <v>2013</v>
      </c>
      <c r="M368" s="27">
        <f t="shared" ref="M368:M399" si="188">+L368+(H368/12)</f>
        <v>2013.4166666666667</v>
      </c>
      <c r="N368" s="5">
        <f>'2180 Trucks - Orig.'!O133</f>
        <v>119149.58399999999</v>
      </c>
      <c r="O368" s="5">
        <f t="shared" ref="O368:O399" si="189">N368-N368*I368</f>
        <v>119149.58399999999</v>
      </c>
      <c r="P368" s="5">
        <f t="shared" ref="P368:P399" si="190">O368/K368/12</f>
        <v>1418.4474285714284</v>
      </c>
      <c r="Q368" s="5">
        <f t="shared" ref="Q368:Q399" si="191">P368*12</f>
        <v>17021.36914285714</v>
      </c>
      <c r="R368" s="5">
        <f t="shared" ref="R368:R399" si="192">+IF(M368&lt;=$O$5,0,IF(L368&gt;$O$4,Q368,(P368*H368)))</f>
        <v>0</v>
      </c>
      <c r="S368" s="5">
        <f t="shared" ref="S368:S399" si="193">+IF(R368=0,N368,IF($O$3-G368&lt;1,0,(($O$3-G368)*Q368)))</f>
        <v>119149.58399999999</v>
      </c>
      <c r="T368" s="5">
        <f t="shared" ref="T368:T399" si="194">+IF(R368=0,S368,S368+R368)</f>
        <v>119149.58399999999</v>
      </c>
      <c r="U368" s="5">
        <f t="shared" ref="U368:U399" si="195">+N368-T368</f>
        <v>0</v>
      </c>
    </row>
    <row r="369" spans="1:21" hidden="1" outlineLevel="1">
      <c r="D369" t="s">
        <v>983</v>
      </c>
      <c r="G369">
        <v>2018</v>
      </c>
      <c r="H369">
        <v>9</v>
      </c>
      <c r="I369">
        <v>0</v>
      </c>
      <c r="J369" t="s">
        <v>30</v>
      </c>
      <c r="K369">
        <f>+IF(L368-$O$3&gt;=3,L368-$O$3,3)</f>
        <v>3</v>
      </c>
      <c r="L369">
        <f t="shared" si="187"/>
        <v>2021</v>
      </c>
      <c r="M369" s="27">
        <f t="shared" si="188"/>
        <v>2021.75</v>
      </c>
      <c r="N369" s="5">
        <f>'2180 Trucks - Orig.'!N133-'2180 Trucks'!N368</f>
        <v>29787.395999999993</v>
      </c>
      <c r="O369" s="5">
        <f t="shared" si="189"/>
        <v>29787.395999999993</v>
      </c>
      <c r="P369" s="5">
        <f t="shared" si="190"/>
        <v>827.42766666666648</v>
      </c>
      <c r="Q369" s="5">
        <f t="shared" si="191"/>
        <v>9929.1319999999978</v>
      </c>
      <c r="R369" s="5">
        <f t="shared" si="192"/>
        <v>9929.1319999999978</v>
      </c>
      <c r="S369" s="5">
        <f t="shared" si="193"/>
        <v>0</v>
      </c>
      <c r="T369" s="5">
        <f t="shared" si="194"/>
        <v>9929.1319999999978</v>
      </c>
      <c r="U369" s="5">
        <f t="shared" si="195"/>
        <v>19858.263999999996</v>
      </c>
    </row>
    <row r="370" spans="1:21" hidden="1" outlineLevel="1">
      <c r="C370">
        <v>4051</v>
      </c>
      <c r="D370" t="s">
        <v>742</v>
      </c>
      <c r="E370">
        <v>113248</v>
      </c>
      <c r="G370">
        <v>2014</v>
      </c>
      <c r="H370">
        <v>4</v>
      </c>
      <c r="I370">
        <v>0</v>
      </c>
      <c r="J370" t="s">
        <v>30</v>
      </c>
      <c r="K370">
        <v>5</v>
      </c>
      <c r="L370">
        <f t="shared" si="187"/>
        <v>2019</v>
      </c>
      <c r="M370" s="27">
        <f t="shared" si="188"/>
        <v>2019.3333333333333</v>
      </c>
      <c r="N370" s="5">
        <f>6778.26/7</f>
        <v>968.32285714285717</v>
      </c>
      <c r="O370" s="5">
        <f t="shared" si="189"/>
        <v>968.32285714285717</v>
      </c>
      <c r="P370" s="5">
        <f t="shared" si="190"/>
        <v>16.138714285714286</v>
      </c>
      <c r="Q370" s="5">
        <f t="shared" si="191"/>
        <v>193.66457142857143</v>
      </c>
      <c r="R370" s="5">
        <f t="shared" si="192"/>
        <v>64.554857142857145</v>
      </c>
      <c r="S370" s="5">
        <f t="shared" si="193"/>
        <v>774.65828571428574</v>
      </c>
      <c r="T370" s="5">
        <f t="shared" si="194"/>
        <v>839.21314285714288</v>
      </c>
      <c r="U370" s="5">
        <f t="shared" si="195"/>
        <v>129.10971428571429</v>
      </c>
    </row>
    <row r="371" spans="1:21" hidden="1" outlineLevel="1">
      <c r="B371" t="s">
        <v>343</v>
      </c>
      <c r="C371">
        <v>4051</v>
      </c>
      <c r="D371" t="s">
        <v>729</v>
      </c>
      <c r="E371">
        <v>118510</v>
      </c>
      <c r="G371">
        <v>2014</v>
      </c>
      <c r="H371">
        <v>11</v>
      </c>
      <c r="I371">
        <v>0</v>
      </c>
      <c r="J371" t="s">
        <v>30</v>
      </c>
      <c r="K371">
        <v>3</v>
      </c>
      <c r="L371">
        <f t="shared" si="187"/>
        <v>2017</v>
      </c>
      <c r="M371" s="27">
        <f t="shared" si="188"/>
        <v>2017.9166666666667</v>
      </c>
      <c r="N371" s="5">
        <v>8921.6</v>
      </c>
      <c r="O371" s="5">
        <f t="shared" si="189"/>
        <v>8921.6</v>
      </c>
      <c r="P371" s="5">
        <f t="shared" si="190"/>
        <v>247.82222222222222</v>
      </c>
      <c r="Q371" s="5">
        <f t="shared" si="191"/>
        <v>2973.8666666666668</v>
      </c>
      <c r="R371" s="5">
        <f t="shared" si="192"/>
        <v>0</v>
      </c>
      <c r="S371" s="5">
        <f t="shared" si="193"/>
        <v>8921.6</v>
      </c>
      <c r="T371" s="5">
        <f t="shared" si="194"/>
        <v>8921.6</v>
      </c>
      <c r="U371" s="5">
        <f t="shared" si="195"/>
        <v>0</v>
      </c>
    </row>
    <row r="372" spans="1:21" hidden="1" outlineLevel="1">
      <c r="A372" t="s">
        <v>47</v>
      </c>
      <c r="B372" t="s">
        <v>343</v>
      </c>
      <c r="C372">
        <v>4042</v>
      </c>
      <c r="D372" t="s">
        <v>48</v>
      </c>
      <c r="G372">
        <v>2005</v>
      </c>
      <c r="H372">
        <v>9</v>
      </c>
      <c r="I372">
        <v>0</v>
      </c>
      <c r="J372" t="s">
        <v>30</v>
      </c>
      <c r="K372">
        <v>7</v>
      </c>
      <c r="L372">
        <f t="shared" si="187"/>
        <v>2012</v>
      </c>
      <c r="M372" s="27">
        <f t="shared" si="188"/>
        <v>2012.75</v>
      </c>
      <c r="N372" s="5">
        <f>'2180 Trucks - Orig.'!O132</f>
        <v>116925.36000000002</v>
      </c>
      <c r="O372" s="5">
        <f t="shared" si="189"/>
        <v>116925.36000000002</v>
      </c>
      <c r="P372" s="5">
        <f t="shared" si="190"/>
        <v>1391.9685714285715</v>
      </c>
      <c r="Q372" s="5">
        <f t="shared" si="191"/>
        <v>16703.622857142858</v>
      </c>
      <c r="R372" s="5">
        <f t="shared" si="192"/>
        <v>0</v>
      </c>
      <c r="S372" s="5">
        <f t="shared" si="193"/>
        <v>116925.36000000002</v>
      </c>
      <c r="T372" s="5">
        <f t="shared" si="194"/>
        <v>116925.36000000002</v>
      </c>
      <c r="U372" s="5">
        <f t="shared" si="195"/>
        <v>0</v>
      </c>
    </row>
    <row r="373" spans="1:21" hidden="1" outlineLevel="1">
      <c r="D373" t="s">
        <v>982</v>
      </c>
      <c r="G373">
        <v>2018</v>
      </c>
      <c r="H373">
        <v>9</v>
      </c>
      <c r="I373">
        <v>0</v>
      </c>
      <c r="J373" t="s">
        <v>30</v>
      </c>
      <c r="K373">
        <f>+IF(L372-$O$3&gt;=3,L372-$O$3,3)</f>
        <v>3</v>
      </c>
      <c r="L373">
        <f t="shared" si="187"/>
        <v>2021</v>
      </c>
      <c r="M373" s="27">
        <f t="shared" si="188"/>
        <v>2021.75</v>
      </c>
      <c r="N373" s="5">
        <f>'2180 Trucks - Orig.'!N132-'2180 Trucks'!N372</f>
        <v>29231.339999999997</v>
      </c>
      <c r="O373" s="5">
        <f t="shared" si="189"/>
        <v>29231.339999999997</v>
      </c>
      <c r="P373" s="5">
        <f t="shared" si="190"/>
        <v>811.98166666666657</v>
      </c>
      <c r="Q373" s="5">
        <f t="shared" si="191"/>
        <v>9743.7799999999988</v>
      </c>
      <c r="R373" s="5">
        <f t="shared" si="192"/>
        <v>9743.7799999999988</v>
      </c>
      <c r="S373" s="5">
        <f t="shared" si="193"/>
        <v>0</v>
      </c>
      <c r="T373" s="5">
        <f t="shared" si="194"/>
        <v>9743.7799999999988</v>
      </c>
      <c r="U373" s="5">
        <f t="shared" si="195"/>
        <v>19487.559999999998</v>
      </c>
    </row>
    <row r="374" spans="1:21" hidden="1" outlineLevel="1">
      <c r="B374" t="s">
        <v>343</v>
      </c>
      <c r="C374">
        <v>4042</v>
      </c>
      <c r="D374" t="s">
        <v>742</v>
      </c>
      <c r="E374">
        <v>113248</v>
      </c>
      <c r="G374">
        <v>2014</v>
      </c>
      <c r="H374">
        <v>4</v>
      </c>
      <c r="I374">
        <v>0</v>
      </c>
      <c r="J374" t="s">
        <v>30</v>
      </c>
      <c r="K374">
        <v>5</v>
      </c>
      <c r="L374">
        <f t="shared" si="187"/>
        <v>2019</v>
      </c>
      <c r="M374" s="27">
        <f t="shared" si="188"/>
        <v>2019.3333333333333</v>
      </c>
      <c r="N374" s="5">
        <f>6778.26/7</f>
        <v>968.32285714285717</v>
      </c>
      <c r="O374" s="5">
        <f t="shared" si="189"/>
        <v>968.32285714285717</v>
      </c>
      <c r="P374" s="5">
        <f t="shared" si="190"/>
        <v>16.138714285714286</v>
      </c>
      <c r="Q374" s="5">
        <f t="shared" si="191"/>
        <v>193.66457142857143</v>
      </c>
      <c r="R374" s="5">
        <f t="shared" si="192"/>
        <v>64.554857142857145</v>
      </c>
      <c r="S374" s="5">
        <f t="shared" si="193"/>
        <v>774.65828571428574</v>
      </c>
      <c r="T374" s="5">
        <f t="shared" si="194"/>
        <v>839.21314285714288</v>
      </c>
      <c r="U374" s="5">
        <f t="shared" si="195"/>
        <v>129.10971428571429</v>
      </c>
    </row>
    <row r="375" spans="1:21" hidden="1" outlineLevel="1">
      <c r="B375" t="s">
        <v>343</v>
      </c>
      <c r="C375">
        <v>4042</v>
      </c>
      <c r="D375" t="s">
        <v>729</v>
      </c>
      <c r="E375">
        <v>118509</v>
      </c>
      <c r="G375">
        <v>2014</v>
      </c>
      <c r="H375">
        <v>11</v>
      </c>
      <c r="I375">
        <v>0</v>
      </c>
      <c r="J375" t="s">
        <v>30</v>
      </c>
      <c r="K375">
        <v>3</v>
      </c>
      <c r="L375">
        <f t="shared" si="187"/>
        <v>2017</v>
      </c>
      <c r="M375" s="27">
        <f t="shared" si="188"/>
        <v>2017.9166666666667</v>
      </c>
      <c r="N375" s="5">
        <v>8921.6</v>
      </c>
      <c r="O375" s="5">
        <f t="shared" si="189"/>
        <v>8921.6</v>
      </c>
      <c r="P375" s="5">
        <f t="shared" si="190"/>
        <v>247.82222222222222</v>
      </c>
      <c r="Q375" s="5">
        <f t="shared" si="191"/>
        <v>2973.8666666666668</v>
      </c>
      <c r="R375" s="5">
        <f t="shared" si="192"/>
        <v>0</v>
      </c>
      <c r="S375" s="5">
        <f t="shared" si="193"/>
        <v>8921.6</v>
      </c>
      <c r="T375" s="5">
        <f t="shared" si="194"/>
        <v>8921.6</v>
      </c>
      <c r="U375" s="5">
        <f t="shared" si="195"/>
        <v>0</v>
      </c>
    </row>
    <row r="376" spans="1:21" hidden="1" outlineLevel="1">
      <c r="A376" t="s">
        <v>161</v>
      </c>
      <c r="B376" t="s">
        <v>342</v>
      </c>
      <c r="C376">
        <v>3584</v>
      </c>
      <c r="D376" t="s">
        <v>50</v>
      </c>
      <c r="G376">
        <v>2006</v>
      </c>
      <c r="H376">
        <v>1</v>
      </c>
      <c r="I376">
        <v>0.2</v>
      </c>
      <c r="J376" t="s">
        <v>30</v>
      </c>
      <c r="K376">
        <v>7</v>
      </c>
      <c r="L376">
        <f t="shared" si="187"/>
        <v>2013</v>
      </c>
      <c r="M376" s="27">
        <f t="shared" si="188"/>
        <v>2013.0833333333333</v>
      </c>
      <c r="N376" s="5"/>
      <c r="O376" s="5">
        <f t="shared" si="189"/>
        <v>0</v>
      </c>
      <c r="P376" s="5">
        <f t="shared" si="190"/>
        <v>0</v>
      </c>
      <c r="Q376" s="5">
        <f t="shared" si="191"/>
        <v>0</v>
      </c>
      <c r="R376" s="5">
        <f t="shared" si="192"/>
        <v>0</v>
      </c>
      <c r="S376" s="5">
        <f t="shared" si="193"/>
        <v>0</v>
      </c>
      <c r="T376" s="5">
        <f t="shared" si="194"/>
        <v>0</v>
      </c>
      <c r="U376" s="5">
        <f t="shared" si="195"/>
        <v>0</v>
      </c>
    </row>
    <row r="377" spans="1:21" hidden="1" outlineLevel="1">
      <c r="A377" t="s">
        <v>36</v>
      </c>
      <c r="B377" t="s">
        <v>342</v>
      </c>
      <c r="C377">
        <v>3583</v>
      </c>
      <c r="D377" t="s">
        <v>195</v>
      </c>
      <c r="G377">
        <v>2005</v>
      </c>
      <c r="H377">
        <v>6</v>
      </c>
      <c r="I377">
        <v>0</v>
      </c>
      <c r="J377" t="s">
        <v>30</v>
      </c>
      <c r="K377">
        <v>7</v>
      </c>
      <c r="L377">
        <f t="shared" si="187"/>
        <v>2012</v>
      </c>
      <c r="M377" s="27">
        <f t="shared" si="188"/>
        <v>2012.5</v>
      </c>
      <c r="N377" s="5">
        <f>'2180 Trucks - Orig.'!O183</f>
        <v>135175.36799999999</v>
      </c>
      <c r="O377" s="5">
        <f t="shared" si="189"/>
        <v>135175.36799999999</v>
      </c>
      <c r="P377" s="5">
        <f t="shared" si="190"/>
        <v>1609.2305714285712</v>
      </c>
      <c r="Q377" s="5">
        <f t="shared" si="191"/>
        <v>19310.766857142855</v>
      </c>
      <c r="R377" s="5">
        <f t="shared" si="192"/>
        <v>0</v>
      </c>
      <c r="S377" s="5">
        <f t="shared" si="193"/>
        <v>135175.36799999999</v>
      </c>
      <c r="T377" s="5">
        <f t="shared" si="194"/>
        <v>135175.36799999999</v>
      </c>
      <c r="U377" s="5">
        <f t="shared" si="195"/>
        <v>0</v>
      </c>
    </row>
    <row r="378" spans="1:21" hidden="1" outlineLevel="1">
      <c r="D378" t="s">
        <v>993</v>
      </c>
      <c r="G378">
        <v>2018</v>
      </c>
      <c r="H378">
        <v>9</v>
      </c>
      <c r="I378">
        <v>0</v>
      </c>
      <c r="J378" t="s">
        <v>30</v>
      </c>
      <c r="K378">
        <f>+IF(L377-$O$3&gt;=3,L377-$O$3,3)</f>
        <v>3</v>
      </c>
      <c r="L378">
        <f t="shared" si="187"/>
        <v>2021</v>
      </c>
      <c r="M378" s="27">
        <f t="shared" si="188"/>
        <v>2021.75</v>
      </c>
      <c r="N378" s="5">
        <f>'2180 Trucks - Orig.'!N183-'2180 Trucks'!N377</f>
        <v>33793.842000000004</v>
      </c>
      <c r="O378" s="5">
        <f t="shared" si="189"/>
        <v>33793.842000000004</v>
      </c>
      <c r="P378" s="5">
        <f t="shared" si="190"/>
        <v>938.71783333333349</v>
      </c>
      <c r="Q378" s="5">
        <f t="shared" si="191"/>
        <v>11264.614000000001</v>
      </c>
      <c r="R378" s="5">
        <f t="shared" si="192"/>
        <v>11264.614000000001</v>
      </c>
      <c r="S378" s="5">
        <f t="shared" si="193"/>
        <v>0</v>
      </c>
      <c r="T378" s="5">
        <f t="shared" si="194"/>
        <v>11264.614000000001</v>
      </c>
      <c r="U378" s="5">
        <f t="shared" si="195"/>
        <v>22529.228000000003</v>
      </c>
    </row>
    <row r="379" spans="1:21" hidden="1" outlineLevel="1">
      <c r="A379" t="s">
        <v>36</v>
      </c>
      <c r="C379">
        <v>3583</v>
      </c>
      <c r="D379" t="s">
        <v>327</v>
      </c>
      <c r="G379">
        <v>2006</v>
      </c>
      <c r="H379">
        <v>9</v>
      </c>
      <c r="I379">
        <v>0</v>
      </c>
      <c r="J379" t="s">
        <v>30</v>
      </c>
      <c r="K379">
        <v>7</v>
      </c>
      <c r="L379">
        <f t="shared" si="187"/>
        <v>2013</v>
      </c>
      <c r="M379" s="27">
        <f t="shared" si="188"/>
        <v>2013.75</v>
      </c>
      <c r="N379" s="5">
        <f>'2180 Trucks - Orig.'!O186</f>
        <v>3159.5520000000001</v>
      </c>
      <c r="O379" s="5">
        <f t="shared" si="189"/>
        <v>3159.5520000000001</v>
      </c>
      <c r="P379" s="5">
        <f t="shared" si="190"/>
        <v>37.613714285714288</v>
      </c>
      <c r="Q379" s="5">
        <f t="shared" si="191"/>
        <v>451.36457142857148</v>
      </c>
      <c r="R379" s="5">
        <f t="shared" si="192"/>
        <v>0</v>
      </c>
      <c r="S379" s="5">
        <f t="shared" si="193"/>
        <v>3159.5520000000001</v>
      </c>
      <c r="T379" s="5">
        <f t="shared" si="194"/>
        <v>3159.5520000000001</v>
      </c>
      <c r="U379" s="5">
        <f t="shared" si="195"/>
        <v>0</v>
      </c>
    </row>
    <row r="380" spans="1:21" hidden="1" outlineLevel="1">
      <c r="D380" t="s">
        <v>996</v>
      </c>
      <c r="G380">
        <v>2018</v>
      </c>
      <c r="H380">
        <v>9</v>
      </c>
      <c r="I380">
        <v>0</v>
      </c>
      <c r="J380" t="s">
        <v>30</v>
      </c>
      <c r="K380">
        <f>+IF(L379-$O$3&gt;=3,L379-$O$3,3)</f>
        <v>3</v>
      </c>
      <c r="L380">
        <f t="shared" si="187"/>
        <v>2021</v>
      </c>
      <c r="M380" s="27">
        <f t="shared" si="188"/>
        <v>2021.75</v>
      </c>
      <c r="N380" s="5">
        <f>'2180 Trucks - Orig.'!N186-'2180 Trucks'!N379</f>
        <v>789.88799999999992</v>
      </c>
      <c r="O380" s="5">
        <f t="shared" si="189"/>
        <v>789.88799999999992</v>
      </c>
      <c r="P380" s="5">
        <f t="shared" si="190"/>
        <v>21.941333333333333</v>
      </c>
      <c r="Q380" s="5">
        <f t="shared" si="191"/>
        <v>263.29599999999999</v>
      </c>
      <c r="R380" s="5">
        <f t="shared" si="192"/>
        <v>263.29599999999999</v>
      </c>
      <c r="S380" s="5">
        <f t="shared" si="193"/>
        <v>0</v>
      </c>
      <c r="T380" s="5">
        <f t="shared" si="194"/>
        <v>263.29599999999999</v>
      </c>
      <c r="U380" s="5">
        <f t="shared" si="195"/>
        <v>526.59199999999987</v>
      </c>
    </row>
    <row r="381" spans="1:21" hidden="1" outlineLevel="1">
      <c r="A381" t="s">
        <v>36</v>
      </c>
      <c r="B381" t="s">
        <v>342</v>
      </c>
      <c r="C381">
        <v>3582</v>
      </c>
      <c r="D381" t="s">
        <v>42</v>
      </c>
      <c r="G381">
        <v>2005</v>
      </c>
      <c r="H381">
        <v>5</v>
      </c>
      <c r="I381">
        <v>0</v>
      </c>
      <c r="J381" t="s">
        <v>30</v>
      </c>
      <c r="K381">
        <v>7</v>
      </c>
      <c r="L381">
        <f t="shared" si="187"/>
        <v>2012</v>
      </c>
      <c r="M381" s="27">
        <f t="shared" si="188"/>
        <v>2012.4166666666667</v>
      </c>
      <c r="N381" s="5">
        <f>'2180 Trucks - Orig.'!O182</f>
        <v>138047.36799999999</v>
      </c>
      <c r="O381" s="5">
        <f t="shared" si="189"/>
        <v>138047.36799999999</v>
      </c>
      <c r="P381" s="5">
        <f t="shared" si="190"/>
        <v>1643.4210476190474</v>
      </c>
      <c r="Q381" s="5">
        <f t="shared" si="191"/>
        <v>19721.052571428569</v>
      </c>
      <c r="R381" s="5">
        <f t="shared" si="192"/>
        <v>0</v>
      </c>
      <c r="S381" s="5">
        <f t="shared" si="193"/>
        <v>138047.36799999999</v>
      </c>
      <c r="T381" s="5">
        <f t="shared" si="194"/>
        <v>138047.36799999999</v>
      </c>
      <c r="U381" s="5">
        <f t="shared" si="195"/>
        <v>0</v>
      </c>
    </row>
    <row r="382" spans="1:21" hidden="1" outlineLevel="1">
      <c r="D382" t="s">
        <v>992</v>
      </c>
      <c r="G382">
        <v>2018</v>
      </c>
      <c r="H382">
        <v>9</v>
      </c>
      <c r="I382">
        <v>0</v>
      </c>
      <c r="J382" t="s">
        <v>30</v>
      </c>
      <c r="K382">
        <f>+IF(L381-$O$3&gt;=3,L381-$O$3,3)</f>
        <v>3</v>
      </c>
      <c r="L382">
        <f t="shared" si="187"/>
        <v>2021</v>
      </c>
      <c r="M382" s="27">
        <f t="shared" si="188"/>
        <v>2021.75</v>
      </c>
      <c r="N382" s="5">
        <f>'2180 Trucks - Orig.'!N182-'2180 Trucks'!N381</f>
        <v>34511.842000000004</v>
      </c>
      <c r="O382" s="5">
        <f t="shared" si="189"/>
        <v>34511.842000000004</v>
      </c>
      <c r="P382" s="5">
        <f t="shared" si="190"/>
        <v>958.66227777777794</v>
      </c>
      <c r="Q382" s="5">
        <f t="shared" si="191"/>
        <v>11503.947333333335</v>
      </c>
      <c r="R382" s="5">
        <f t="shared" si="192"/>
        <v>11503.947333333335</v>
      </c>
      <c r="S382" s="5">
        <f t="shared" si="193"/>
        <v>0</v>
      </c>
      <c r="T382" s="5">
        <f t="shared" si="194"/>
        <v>11503.947333333335</v>
      </c>
      <c r="U382" s="5">
        <f t="shared" si="195"/>
        <v>23007.894666666667</v>
      </c>
    </row>
    <row r="383" spans="1:21" hidden="1" outlineLevel="1">
      <c r="A383" t="s">
        <v>43</v>
      </c>
      <c r="B383" t="s">
        <v>342</v>
      </c>
      <c r="C383">
        <v>3581</v>
      </c>
      <c r="D383" t="s">
        <v>44</v>
      </c>
      <c r="G383">
        <v>2005</v>
      </c>
      <c r="H383">
        <v>5</v>
      </c>
      <c r="I383">
        <v>0</v>
      </c>
      <c r="J383" t="s">
        <v>30</v>
      </c>
      <c r="K383">
        <v>7</v>
      </c>
      <c r="L383">
        <f t="shared" si="187"/>
        <v>2012</v>
      </c>
      <c r="M383" s="27">
        <f t="shared" si="188"/>
        <v>2012.4166666666667</v>
      </c>
      <c r="N383" s="5">
        <f>'2180 Trucks - Orig.'!O209</f>
        <v>135989.16800000001</v>
      </c>
      <c r="O383" s="5">
        <f t="shared" si="189"/>
        <v>135989.16800000001</v>
      </c>
      <c r="P383" s="5">
        <f t="shared" si="190"/>
        <v>1618.9186666666667</v>
      </c>
      <c r="Q383" s="5">
        <f t="shared" si="191"/>
        <v>19427.024000000001</v>
      </c>
      <c r="R383" s="5">
        <f t="shared" si="192"/>
        <v>0</v>
      </c>
      <c r="S383" s="5">
        <f t="shared" si="193"/>
        <v>135989.16800000001</v>
      </c>
      <c r="T383" s="5">
        <f t="shared" si="194"/>
        <v>135989.16800000001</v>
      </c>
      <c r="U383" s="5">
        <f t="shared" si="195"/>
        <v>0</v>
      </c>
    </row>
    <row r="384" spans="1:21" hidden="1" outlineLevel="1">
      <c r="D384" t="s">
        <v>1000</v>
      </c>
      <c r="G384">
        <v>2018</v>
      </c>
      <c r="H384">
        <v>9</v>
      </c>
      <c r="I384">
        <v>0</v>
      </c>
      <c r="J384" t="s">
        <v>30</v>
      </c>
      <c r="K384">
        <f>+IF(L383-$O$3&gt;=3,L383-$O$3,3)</f>
        <v>3</v>
      </c>
      <c r="L384">
        <f t="shared" si="187"/>
        <v>2021</v>
      </c>
      <c r="M384" s="27">
        <f t="shared" si="188"/>
        <v>2021.75</v>
      </c>
      <c r="N384" s="5">
        <f>'2180 Trucks - Orig.'!N209-'2180 Trucks'!N383</f>
        <v>33997.291999999987</v>
      </c>
      <c r="O384" s="5">
        <f t="shared" si="189"/>
        <v>33997.291999999987</v>
      </c>
      <c r="P384" s="5">
        <f t="shared" si="190"/>
        <v>944.36922222222177</v>
      </c>
      <c r="Q384" s="5">
        <f t="shared" si="191"/>
        <v>11332.430666666662</v>
      </c>
      <c r="R384" s="5">
        <f t="shared" si="192"/>
        <v>11332.430666666662</v>
      </c>
      <c r="S384" s="5">
        <f t="shared" si="193"/>
        <v>0</v>
      </c>
      <c r="T384" s="5">
        <f t="shared" si="194"/>
        <v>11332.430666666662</v>
      </c>
      <c r="U384" s="5">
        <f t="shared" si="195"/>
        <v>22664.861333333327</v>
      </c>
    </row>
    <row r="385" spans="1:21" hidden="1" outlineLevel="1">
      <c r="A385" t="s">
        <v>43</v>
      </c>
      <c r="C385">
        <v>3581</v>
      </c>
      <c r="D385" t="s">
        <v>320</v>
      </c>
      <c r="G385">
        <v>2009</v>
      </c>
      <c r="H385">
        <v>6</v>
      </c>
      <c r="I385">
        <v>0</v>
      </c>
      <c r="J385" t="s">
        <v>30</v>
      </c>
      <c r="K385">
        <v>3</v>
      </c>
      <c r="L385">
        <f t="shared" si="187"/>
        <v>2012</v>
      </c>
      <c r="M385" s="27">
        <f t="shared" si="188"/>
        <v>2012.5</v>
      </c>
      <c r="N385" s="5">
        <v>5983.2</v>
      </c>
      <c r="O385" s="5">
        <f t="shared" si="189"/>
        <v>5983.2</v>
      </c>
      <c r="P385" s="5">
        <f t="shared" si="190"/>
        <v>166.2</v>
      </c>
      <c r="Q385" s="5">
        <f t="shared" si="191"/>
        <v>1994.3999999999999</v>
      </c>
      <c r="R385" s="5">
        <f t="shared" si="192"/>
        <v>0</v>
      </c>
      <c r="S385" s="5">
        <f t="shared" si="193"/>
        <v>5983.2</v>
      </c>
      <c r="T385" s="5">
        <f t="shared" si="194"/>
        <v>5983.2</v>
      </c>
      <c r="U385" s="5">
        <f t="shared" si="195"/>
        <v>0</v>
      </c>
    </row>
    <row r="386" spans="1:21" hidden="1" outlineLevel="1">
      <c r="A386" t="s">
        <v>43</v>
      </c>
      <c r="B386" t="s">
        <v>342</v>
      </c>
      <c r="C386">
        <v>3579</v>
      </c>
      <c r="D386" t="s">
        <v>44</v>
      </c>
      <c r="G386">
        <v>2005</v>
      </c>
      <c r="H386">
        <v>3</v>
      </c>
      <c r="I386">
        <v>0</v>
      </c>
      <c r="J386" t="s">
        <v>30</v>
      </c>
      <c r="K386">
        <v>7</v>
      </c>
      <c r="L386">
        <f t="shared" si="187"/>
        <v>2012</v>
      </c>
      <c r="M386" s="27">
        <f t="shared" si="188"/>
        <v>2012.25</v>
      </c>
      <c r="N386" s="5">
        <f>'2180 Trucks - Orig.'!O207</f>
        <v>135991.24</v>
      </c>
      <c r="O386" s="5">
        <f t="shared" si="189"/>
        <v>135991.24</v>
      </c>
      <c r="P386" s="5">
        <f t="shared" si="190"/>
        <v>1618.9433333333334</v>
      </c>
      <c r="Q386" s="5">
        <f t="shared" si="191"/>
        <v>19427.32</v>
      </c>
      <c r="R386" s="5">
        <f t="shared" si="192"/>
        <v>0</v>
      </c>
      <c r="S386" s="5">
        <f t="shared" si="193"/>
        <v>135991.24</v>
      </c>
      <c r="T386" s="5">
        <f t="shared" si="194"/>
        <v>135991.24</v>
      </c>
      <c r="U386" s="5">
        <f t="shared" si="195"/>
        <v>0</v>
      </c>
    </row>
    <row r="387" spans="1:21" hidden="1" outlineLevel="1">
      <c r="D387" t="s">
        <v>1000</v>
      </c>
      <c r="G387">
        <v>2018</v>
      </c>
      <c r="H387">
        <v>9</v>
      </c>
      <c r="I387">
        <v>0</v>
      </c>
      <c r="J387" t="s">
        <v>30</v>
      </c>
      <c r="K387">
        <f>+IF(L386-$O$3&gt;=3,L386-$O$3,3)</f>
        <v>3</v>
      </c>
      <c r="L387">
        <f t="shared" si="187"/>
        <v>2021</v>
      </c>
      <c r="M387" s="27">
        <f t="shared" si="188"/>
        <v>2021.75</v>
      </c>
      <c r="N387" s="5">
        <f>'2180 Trucks - Orig.'!N207-'2180 Trucks'!N386</f>
        <v>33997.81</v>
      </c>
      <c r="O387" s="5">
        <f t="shared" si="189"/>
        <v>33997.81</v>
      </c>
      <c r="P387" s="5">
        <f t="shared" si="190"/>
        <v>944.38361111111101</v>
      </c>
      <c r="Q387" s="5">
        <f t="shared" si="191"/>
        <v>11332.603333333333</v>
      </c>
      <c r="R387" s="5">
        <f t="shared" si="192"/>
        <v>11332.603333333333</v>
      </c>
      <c r="S387" s="5">
        <f t="shared" si="193"/>
        <v>0</v>
      </c>
      <c r="T387" s="5">
        <f t="shared" si="194"/>
        <v>11332.603333333333</v>
      </c>
      <c r="U387" s="5">
        <f t="shared" si="195"/>
        <v>22665.206666666665</v>
      </c>
    </row>
    <row r="388" spans="1:21" hidden="1" outlineLevel="1">
      <c r="A388" t="s">
        <v>43</v>
      </c>
      <c r="B388" t="s">
        <v>342</v>
      </c>
      <c r="C388">
        <v>3576</v>
      </c>
      <c r="D388" t="s">
        <v>202</v>
      </c>
      <c r="E388">
        <v>66891</v>
      </c>
      <c r="G388">
        <v>2005</v>
      </c>
      <c r="H388">
        <v>3</v>
      </c>
      <c r="I388">
        <v>0</v>
      </c>
      <c r="J388" t="s">
        <v>30</v>
      </c>
      <c r="K388">
        <v>7</v>
      </c>
      <c r="L388">
        <f t="shared" si="187"/>
        <v>2012</v>
      </c>
      <c r="M388" s="27">
        <f t="shared" si="188"/>
        <v>2012.25</v>
      </c>
      <c r="N388" s="5">
        <f>'2180 Trucks - Orig.'!O206</f>
        <v>134058.44</v>
      </c>
      <c r="O388" s="5">
        <f t="shared" si="189"/>
        <v>134058.44</v>
      </c>
      <c r="P388" s="5">
        <f t="shared" si="190"/>
        <v>1595.9338095238097</v>
      </c>
      <c r="Q388" s="5">
        <f t="shared" si="191"/>
        <v>19151.205714285716</v>
      </c>
      <c r="R388" s="5">
        <f t="shared" si="192"/>
        <v>0</v>
      </c>
      <c r="S388" s="5">
        <f t="shared" si="193"/>
        <v>134058.44</v>
      </c>
      <c r="T388" s="5">
        <f t="shared" si="194"/>
        <v>134058.44</v>
      </c>
      <c r="U388" s="5">
        <f t="shared" si="195"/>
        <v>0</v>
      </c>
    </row>
    <row r="389" spans="1:21" hidden="1" outlineLevel="1">
      <c r="D389" t="s">
        <v>999</v>
      </c>
      <c r="G389">
        <v>2018</v>
      </c>
      <c r="H389">
        <v>9</v>
      </c>
      <c r="I389">
        <v>0</v>
      </c>
      <c r="J389" t="s">
        <v>30</v>
      </c>
      <c r="K389">
        <f>+IF(L388-$O$3&gt;=3,L388-$O$3,3)</f>
        <v>3</v>
      </c>
      <c r="L389">
        <f t="shared" si="187"/>
        <v>2021</v>
      </c>
      <c r="M389" s="27">
        <f t="shared" si="188"/>
        <v>2021.75</v>
      </c>
      <c r="N389" s="5">
        <f>'2180 Trucks - Orig.'!N206-'2180 Trucks'!N388</f>
        <v>33514.609999999986</v>
      </c>
      <c r="O389" s="5">
        <f t="shared" si="189"/>
        <v>33514.609999999986</v>
      </c>
      <c r="P389" s="5">
        <f t="shared" si="190"/>
        <v>930.96138888888845</v>
      </c>
      <c r="Q389" s="5">
        <f t="shared" si="191"/>
        <v>11171.536666666661</v>
      </c>
      <c r="R389" s="5">
        <f t="shared" si="192"/>
        <v>11171.536666666661</v>
      </c>
      <c r="S389" s="5">
        <f t="shared" si="193"/>
        <v>0</v>
      </c>
      <c r="T389" s="5">
        <f t="shared" si="194"/>
        <v>11171.536666666661</v>
      </c>
      <c r="U389" s="5">
        <f t="shared" si="195"/>
        <v>22343.073333333326</v>
      </c>
    </row>
    <row r="390" spans="1:21" hidden="1" outlineLevel="1">
      <c r="A390" t="s">
        <v>36</v>
      </c>
      <c r="C390">
        <v>3576</v>
      </c>
      <c r="D390" t="s">
        <v>721</v>
      </c>
      <c r="E390">
        <v>111599</v>
      </c>
      <c r="F390">
        <v>66891</v>
      </c>
      <c r="G390">
        <v>2014</v>
      </c>
      <c r="H390">
        <v>3</v>
      </c>
      <c r="I390">
        <v>0</v>
      </c>
      <c r="J390" t="s">
        <v>30</v>
      </c>
      <c r="K390">
        <v>3</v>
      </c>
      <c r="L390">
        <f t="shared" si="187"/>
        <v>2017</v>
      </c>
      <c r="M390" s="27">
        <f t="shared" si="188"/>
        <v>2017.25</v>
      </c>
      <c r="N390" s="5">
        <v>6019.77</v>
      </c>
      <c r="O390" s="5">
        <f t="shared" si="189"/>
        <v>6019.77</v>
      </c>
      <c r="P390" s="5">
        <f t="shared" si="190"/>
        <v>167.21583333333334</v>
      </c>
      <c r="Q390" s="5">
        <f t="shared" si="191"/>
        <v>2006.5900000000001</v>
      </c>
      <c r="R390" s="5">
        <f t="shared" si="192"/>
        <v>0</v>
      </c>
      <c r="S390" s="5">
        <f t="shared" si="193"/>
        <v>6019.77</v>
      </c>
      <c r="T390" s="5">
        <f t="shared" si="194"/>
        <v>6019.77</v>
      </c>
      <c r="U390" s="5">
        <f t="shared" si="195"/>
        <v>0</v>
      </c>
    </row>
    <row r="391" spans="1:21" hidden="1" outlineLevel="1">
      <c r="A391" t="s">
        <v>36</v>
      </c>
      <c r="B391" t="s">
        <v>342</v>
      </c>
      <c r="C391">
        <v>3574</v>
      </c>
      <c r="D391" t="s">
        <v>188</v>
      </c>
      <c r="G391">
        <v>2003</v>
      </c>
      <c r="H391">
        <v>7</v>
      </c>
      <c r="I391">
        <v>0</v>
      </c>
      <c r="J391" t="s">
        <v>30</v>
      </c>
      <c r="K391">
        <v>7</v>
      </c>
      <c r="L391">
        <f t="shared" si="187"/>
        <v>2010</v>
      </c>
      <c r="M391" s="27">
        <f t="shared" si="188"/>
        <v>2010.5833333333333</v>
      </c>
      <c r="N391" s="5">
        <f>'2180 Trucks - Orig.'!O179</f>
        <v>128501.81599999999</v>
      </c>
      <c r="O391" s="5">
        <f t="shared" si="189"/>
        <v>128501.81599999999</v>
      </c>
      <c r="P391" s="5">
        <f t="shared" si="190"/>
        <v>1529.7835238095238</v>
      </c>
      <c r="Q391" s="5">
        <f t="shared" si="191"/>
        <v>18357.402285714285</v>
      </c>
      <c r="R391" s="5">
        <f t="shared" si="192"/>
        <v>0</v>
      </c>
      <c r="S391" s="5">
        <f t="shared" si="193"/>
        <v>128501.81599999999</v>
      </c>
      <c r="T391" s="5">
        <f t="shared" si="194"/>
        <v>128501.81599999999</v>
      </c>
      <c r="U391" s="5">
        <f t="shared" si="195"/>
        <v>0</v>
      </c>
    </row>
    <row r="392" spans="1:21" hidden="1" outlineLevel="1">
      <c r="D392" t="s">
        <v>990</v>
      </c>
      <c r="G392">
        <v>2018</v>
      </c>
      <c r="H392">
        <v>9</v>
      </c>
      <c r="I392">
        <v>0</v>
      </c>
      <c r="J392" t="s">
        <v>30</v>
      </c>
      <c r="K392">
        <f>+IF(L391-$O$3&gt;=3,L391-$O$3,3)</f>
        <v>3</v>
      </c>
      <c r="L392">
        <f t="shared" si="187"/>
        <v>2021</v>
      </c>
      <c r="M392" s="27">
        <f t="shared" si="188"/>
        <v>2021.75</v>
      </c>
      <c r="N392" s="5">
        <f>'2180 Trucks - Orig.'!N179-'2180 Trucks'!N391</f>
        <v>32125.453999999998</v>
      </c>
      <c r="O392" s="5">
        <f t="shared" si="189"/>
        <v>32125.453999999998</v>
      </c>
      <c r="P392" s="5">
        <f t="shared" si="190"/>
        <v>892.37372222222211</v>
      </c>
      <c r="Q392" s="5">
        <f t="shared" si="191"/>
        <v>10708.484666666665</v>
      </c>
      <c r="R392" s="5">
        <f t="shared" si="192"/>
        <v>10708.484666666665</v>
      </c>
      <c r="S392" s="5">
        <f t="shared" si="193"/>
        <v>0</v>
      </c>
      <c r="T392" s="5">
        <f t="shared" si="194"/>
        <v>10708.484666666665</v>
      </c>
      <c r="U392" s="5">
        <f t="shared" si="195"/>
        <v>21416.969333333334</v>
      </c>
    </row>
    <row r="393" spans="1:21" hidden="1" outlineLevel="1">
      <c r="A393" t="s">
        <v>43</v>
      </c>
      <c r="B393" t="s">
        <v>342</v>
      </c>
      <c r="C393">
        <v>3573</v>
      </c>
      <c r="D393" t="s">
        <v>189</v>
      </c>
      <c r="G393">
        <v>2003</v>
      </c>
      <c r="H393">
        <v>5</v>
      </c>
      <c r="I393">
        <v>0</v>
      </c>
      <c r="J393" t="s">
        <v>30</v>
      </c>
      <c r="K393">
        <v>7</v>
      </c>
      <c r="L393">
        <f t="shared" si="187"/>
        <v>2010</v>
      </c>
      <c r="M393" s="27">
        <f t="shared" si="188"/>
        <v>2010.4166666666667</v>
      </c>
      <c r="N393" s="5">
        <f>'2180 Trucks - Orig.'!O204</f>
        <v>128501.81599999999</v>
      </c>
      <c r="O393" s="5">
        <f t="shared" si="189"/>
        <v>128501.81599999999</v>
      </c>
      <c r="P393" s="5">
        <f t="shared" si="190"/>
        <v>1529.7835238095238</v>
      </c>
      <c r="Q393" s="5">
        <f t="shared" si="191"/>
        <v>18357.402285714285</v>
      </c>
      <c r="R393" s="5">
        <f t="shared" si="192"/>
        <v>0</v>
      </c>
      <c r="S393" s="5">
        <f t="shared" si="193"/>
        <v>128501.81599999999</v>
      </c>
      <c r="T393" s="5">
        <f t="shared" si="194"/>
        <v>128501.81599999999</v>
      </c>
      <c r="U393" s="5">
        <f t="shared" si="195"/>
        <v>0</v>
      </c>
    </row>
    <row r="394" spans="1:21" hidden="1" outlineLevel="1">
      <c r="D394" t="s">
        <v>998</v>
      </c>
      <c r="G394">
        <v>2018</v>
      </c>
      <c r="H394">
        <v>9</v>
      </c>
      <c r="I394">
        <v>0</v>
      </c>
      <c r="J394" t="s">
        <v>30</v>
      </c>
      <c r="K394">
        <f>+IF(L393-$O$3&gt;=3,L393-$O$3,3)</f>
        <v>3</v>
      </c>
      <c r="L394">
        <f t="shared" si="187"/>
        <v>2021</v>
      </c>
      <c r="M394" s="27">
        <f t="shared" si="188"/>
        <v>2021.75</v>
      </c>
      <c r="N394" s="5">
        <f>'2180 Trucks - Orig.'!N204-'2180 Trucks'!N393</f>
        <v>32125.453999999998</v>
      </c>
      <c r="O394" s="5">
        <f t="shared" si="189"/>
        <v>32125.453999999998</v>
      </c>
      <c r="P394" s="5">
        <f t="shared" si="190"/>
        <v>892.37372222222211</v>
      </c>
      <c r="Q394" s="5">
        <f t="shared" si="191"/>
        <v>10708.484666666665</v>
      </c>
      <c r="R394" s="5">
        <f t="shared" si="192"/>
        <v>10708.484666666665</v>
      </c>
      <c r="S394" s="5">
        <f t="shared" si="193"/>
        <v>0</v>
      </c>
      <c r="T394" s="5">
        <f t="shared" si="194"/>
        <v>10708.484666666665</v>
      </c>
      <c r="U394" s="5">
        <f t="shared" si="195"/>
        <v>21416.969333333334</v>
      </c>
    </row>
    <row r="395" spans="1:21" hidden="1" outlineLevel="1">
      <c r="A395" t="s">
        <v>770</v>
      </c>
      <c r="B395" t="s">
        <v>345</v>
      </c>
      <c r="C395">
        <v>2024</v>
      </c>
      <c r="D395" t="s">
        <v>773</v>
      </c>
      <c r="G395">
        <v>2006</v>
      </c>
      <c r="H395">
        <v>6</v>
      </c>
      <c r="I395">
        <v>0</v>
      </c>
      <c r="J395" t="s">
        <v>30</v>
      </c>
      <c r="K395">
        <v>5</v>
      </c>
      <c r="L395">
        <f t="shared" si="187"/>
        <v>2011</v>
      </c>
      <c r="M395" s="27">
        <f t="shared" si="188"/>
        <v>2011.5</v>
      </c>
      <c r="N395" s="5">
        <f>'2180 Trucks - Orig.'!O221</f>
        <v>135862.6201</v>
      </c>
      <c r="O395" s="5">
        <f t="shared" si="189"/>
        <v>135862.6201</v>
      </c>
      <c r="P395" s="5">
        <f t="shared" si="190"/>
        <v>2264.3770016666667</v>
      </c>
      <c r="Q395" s="5">
        <f t="shared" si="191"/>
        <v>27172.524020000001</v>
      </c>
      <c r="R395" s="5">
        <f t="shared" si="192"/>
        <v>0</v>
      </c>
      <c r="S395" s="5">
        <f t="shared" si="193"/>
        <v>135862.6201</v>
      </c>
      <c r="T395" s="5">
        <f t="shared" si="194"/>
        <v>135862.6201</v>
      </c>
      <c r="U395" s="5">
        <f t="shared" si="195"/>
        <v>0</v>
      </c>
    </row>
    <row r="396" spans="1:21" hidden="1" outlineLevel="1">
      <c r="D396" t="s">
        <v>1003</v>
      </c>
      <c r="G396">
        <v>2018</v>
      </c>
      <c r="H396">
        <v>9</v>
      </c>
      <c r="I396">
        <v>0</v>
      </c>
      <c r="J396" t="s">
        <v>30</v>
      </c>
      <c r="K396">
        <f>+IF(L395-$O$3&gt;=3,L395-$O$3,3)</f>
        <v>3</v>
      </c>
      <c r="L396">
        <f t="shared" si="187"/>
        <v>2021</v>
      </c>
      <c r="M396" s="27">
        <f t="shared" si="188"/>
        <v>2021.75</v>
      </c>
      <c r="N396" s="5">
        <f>'2180 Trucks - Orig.'!N221-'2180 Trucks'!N395</f>
        <v>66917.409899999999</v>
      </c>
      <c r="O396" s="5">
        <f t="shared" si="189"/>
        <v>66917.409899999999</v>
      </c>
      <c r="P396" s="5">
        <f t="shared" si="190"/>
        <v>1858.8169416666667</v>
      </c>
      <c r="Q396" s="5">
        <f t="shared" si="191"/>
        <v>22305.8033</v>
      </c>
      <c r="R396" s="5">
        <f t="shared" si="192"/>
        <v>22305.8033</v>
      </c>
      <c r="S396" s="5">
        <f t="shared" si="193"/>
        <v>0</v>
      </c>
      <c r="T396" s="5">
        <f t="shared" si="194"/>
        <v>22305.8033</v>
      </c>
      <c r="U396" s="5">
        <f t="shared" si="195"/>
        <v>44611.606599999999</v>
      </c>
    </row>
    <row r="397" spans="1:21" hidden="1" outlineLevel="1">
      <c r="A397" t="s">
        <v>193</v>
      </c>
      <c r="B397" t="s">
        <v>345</v>
      </c>
      <c r="C397">
        <v>2023</v>
      </c>
      <c r="D397" t="s">
        <v>198</v>
      </c>
      <c r="G397">
        <v>2005</v>
      </c>
      <c r="H397">
        <v>5</v>
      </c>
      <c r="I397">
        <v>0</v>
      </c>
      <c r="J397" t="s">
        <v>30</v>
      </c>
      <c r="K397">
        <v>7</v>
      </c>
      <c r="L397">
        <f t="shared" si="187"/>
        <v>2012</v>
      </c>
      <c r="M397" s="27">
        <f t="shared" si="188"/>
        <v>2012.4166666666667</v>
      </c>
      <c r="N397" s="5">
        <f>'2180 Trucks - Orig.'!O23</f>
        <v>152335.67199999999</v>
      </c>
      <c r="O397" s="5">
        <f t="shared" si="189"/>
        <v>152335.67199999999</v>
      </c>
      <c r="P397" s="5">
        <f t="shared" si="190"/>
        <v>1813.5199047619046</v>
      </c>
      <c r="Q397" s="5">
        <f t="shared" si="191"/>
        <v>21762.238857142856</v>
      </c>
      <c r="R397" s="5">
        <f t="shared" si="192"/>
        <v>0</v>
      </c>
      <c r="S397" s="5">
        <f t="shared" si="193"/>
        <v>152335.67199999999</v>
      </c>
      <c r="T397" s="5">
        <f t="shared" si="194"/>
        <v>152335.67199999999</v>
      </c>
      <c r="U397" s="5">
        <f t="shared" si="195"/>
        <v>0</v>
      </c>
    </row>
    <row r="398" spans="1:21" hidden="1" outlineLevel="1">
      <c r="D398" t="s">
        <v>963</v>
      </c>
      <c r="G398">
        <v>2018</v>
      </c>
      <c r="H398">
        <v>9</v>
      </c>
      <c r="I398">
        <v>0</v>
      </c>
      <c r="J398" t="s">
        <v>30</v>
      </c>
      <c r="K398">
        <f>+IF(L397-$O$3&gt;=3,L397-$O$3,3)</f>
        <v>3</v>
      </c>
      <c r="L398">
        <f t="shared" si="187"/>
        <v>2021</v>
      </c>
      <c r="M398" s="27">
        <f t="shared" si="188"/>
        <v>2021.75</v>
      </c>
      <c r="N398" s="5">
        <f>'2180 Trucks - Orig.'!N23-'2180 Trucks'!N397</f>
        <v>38083.918000000005</v>
      </c>
      <c r="O398" s="5">
        <f t="shared" si="189"/>
        <v>38083.918000000005</v>
      </c>
      <c r="P398" s="5">
        <f t="shared" si="190"/>
        <v>1057.8866111111113</v>
      </c>
      <c r="Q398" s="5">
        <f t="shared" si="191"/>
        <v>12694.639333333336</v>
      </c>
      <c r="R398" s="5">
        <f t="shared" si="192"/>
        <v>12694.639333333336</v>
      </c>
      <c r="S398" s="5">
        <f t="shared" si="193"/>
        <v>0</v>
      </c>
      <c r="T398" s="5">
        <f t="shared" si="194"/>
        <v>12694.639333333336</v>
      </c>
      <c r="U398" s="5">
        <f t="shared" si="195"/>
        <v>25389.278666666669</v>
      </c>
    </row>
    <row r="399" spans="1:21" hidden="1" outlineLevel="1">
      <c r="A399" t="s">
        <v>770</v>
      </c>
      <c r="B399" t="s">
        <v>341</v>
      </c>
      <c r="C399">
        <v>1033</v>
      </c>
      <c r="D399" t="s">
        <v>184</v>
      </c>
      <c r="G399">
        <v>2002</v>
      </c>
      <c r="H399">
        <v>6</v>
      </c>
      <c r="I399">
        <v>0</v>
      </c>
      <c r="J399" t="s">
        <v>30</v>
      </c>
      <c r="K399">
        <v>7</v>
      </c>
      <c r="L399">
        <f t="shared" si="187"/>
        <v>2009</v>
      </c>
      <c r="M399" s="27">
        <f t="shared" si="188"/>
        <v>2009.5</v>
      </c>
      <c r="N399" s="5">
        <f>'2180 Trucks - Orig.'!O220</f>
        <v>81505.2</v>
      </c>
      <c r="O399" s="5">
        <f t="shared" si="189"/>
        <v>81505.2</v>
      </c>
      <c r="P399" s="5">
        <f t="shared" si="190"/>
        <v>970.30000000000007</v>
      </c>
      <c r="Q399" s="5">
        <f t="shared" si="191"/>
        <v>11643.6</v>
      </c>
      <c r="R399" s="5">
        <f t="shared" si="192"/>
        <v>0</v>
      </c>
      <c r="S399" s="5">
        <f t="shared" si="193"/>
        <v>81505.2</v>
      </c>
      <c r="T399" s="5">
        <f t="shared" si="194"/>
        <v>81505.2</v>
      </c>
      <c r="U399" s="5">
        <f t="shared" si="195"/>
        <v>0</v>
      </c>
    </row>
    <row r="400" spans="1:21" hidden="1" outlineLevel="1">
      <c r="D400" t="s">
        <v>1002</v>
      </c>
      <c r="G400">
        <v>2018</v>
      </c>
      <c r="H400">
        <v>9</v>
      </c>
      <c r="I400">
        <v>0</v>
      </c>
      <c r="J400" t="s">
        <v>30</v>
      </c>
      <c r="K400">
        <f>+IF(L399-$O$3&gt;=3,L399-$O$3,3)</f>
        <v>3</v>
      </c>
      <c r="L400">
        <f t="shared" ref="L400:L420" si="196">G400+K400</f>
        <v>2021</v>
      </c>
      <c r="M400" s="27">
        <f t="shared" ref="M400:M420" si="197">+L400+(H400/12)</f>
        <v>2021.75</v>
      </c>
      <c r="N400" s="5">
        <f>'2180 Trucks - Orig.'!N220-'2180 Trucks'!N399</f>
        <v>20376.300000000003</v>
      </c>
      <c r="O400" s="5">
        <f t="shared" ref="O400:O420" si="198">N400-N400*I400</f>
        <v>20376.300000000003</v>
      </c>
      <c r="P400" s="5">
        <f t="shared" ref="P400:P420" si="199">O400/K400/12</f>
        <v>566.00833333333344</v>
      </c>
      <c r="Q400" s="5">
        <f t="shared" ref="Q400:Q420" si="200">P400*12</f>
        <v>6792.1000000000013</v>
      </c>
      <c r="R400" s="5">
        <f t="shared" ref="R400:R420" si="201">+IF(M400&lt;=$O$5,0,IF(L400&gt;$O$4,Q400,(P400*H400)))</f>
        <v>6792.1000000000013</v>
      </c>
      <c r="S400" s="5">
        <f t="shared" ref="S400:S420" si="202">+IF(R400=0,N400,IF($O$3-G400&lt;1,0,(($O$3-G400)*Q400)))</f>
        <v>0</v>
      </c>
      <c r="T400" s="5">
        <f t="shared" ref="T400:T420" si="203">+IF(R400=0,S400,S400+R400)</f>
        <v>6792.1000000000013</v>
      </c>
      <c r="U400" s="5">
        <f t="shared" ref="U400:U420" si="204">+N400-T400</f>
        <v>13584.2</v>
      </c>
    </row>
    <row r="401" spans="1:21" hidden="1" outlineLevel="1">
      <c r="B401" t="s">
        <v>341</v>
      </c>
      <c r="C401">
        <v>1033</v>
      </c>
      <c r="D401" t="s">
        <v>375</v>
      </c>
      <c r="E401">
        <v>73806</v>
      </c>
      <c r="F401" t="s">
        <v>376</v>
      </c>
      <c r="G401">
        <v>2010</v>
      </c>
      <c r="H401">
        <v>5</v>
      </c>
      <c r="I401">
        <v>0</v>
      </c>
      <c r="J401" t="s">
        <v>30</v>
      </c>
      <c r="K401">
        <v>3</v>
      </c>
      <c r="L401">
        <f t="shared" si="196"/>
        <v>2013</v>
      </c>
      <c r="M401" s="27">
        <f t="shared" si="197"/>
        <v>2013.4166666666667</v>
      </c>
      <c r="N401" s="5">
        <v>12083.88</v>
      </c>
      <c r="O401" s="5">
        <f t="shared" si="198"/>
        <v>12083.88</v>
      </c>
      <c r="P401" s="5">
        <f t="shared" si="199"/>
        <v>335.6633333333333</v>
      </c>
      <c r="Q401" s="5">
        <f t="shared" si="200"/>
        <v>4027.9599999999996</v>
      </c>
      <c r="R401" s="5">
        <f t="shared" si="201"/>
        <v>0</v>
      </c>
      <c r="S401" s="5">
        <f t="shared" si="202"/>
        <v>12083.88</v>
      </c>
      <c r="T401" s="5">
        <f t="shared" si="203"/>
        <v>12083.88</v>
      </c>
      <c r="U401" s="5">
        <f t="shared" si="204"/>
        <v>0</v>
      </c>
    </row>
    <row r="402" spans="1:21" hidden="1" outlineLevel="1">
      <c r="A402" t="s">
        <v>179</v>
      </c>
      <c r="B402" t="s">
        <v>341</v>
      </c>
      <c r="C402">
        <v>1032</v>
      </c>
      <c r="D402" t="s">
        <v>183</v>
      </c>
      <c r="G402">
        <v>2002</v>
      </c>
      <c r="H402">
        <v>6</v>
      </c>
      <c r="I402">
        <v>0</v>
      </c>
      <c r="J402" t="s">
        <v>30</v>
      </c>
      <c r="K402">
        <v>7</v>
      </c>
      <c r="L402">
        <f t="shared" si="196"/>
        <v>2009</v>
      </c>
      <c r="M402" s="27">
        <f t="shared" si="197"/>
        <v>2009.5</v>
      </c>
      <c r="N402" s="5">
        <f>'2180 Trucks - Orig.'!O19</f>
        <v>81505.2</v>
      </c>
      <c r="O402" s="5">
        <f t="shared" si="198"/>
        <v>81505.2</v>
      </c>
      <c r="P402" s="5">
        <f t="shared" si="199"/>
        <v>970.30000000000007</v>
      </c>
      <c r="Q402" s="5">
        <f t="shared" si="200"/>
        <v>11643.6</v>
      </c>
      <c r="R402" s="5">
        <f t="shared" si="201"/>
        <v>0</v>
      </c>
      <c r="S402" s="5">
        <f t="shared" si="202"/>
        <v>81505.2</v>
      </c>
      <c r="T402" s="5">
        <f t="shared" si="203"/>
        <v>81505.2</v>
      </c>
      <c r="U402" s="5">
        <f t="shared" si="204"/>
        <v>0</v>
      </c>
    </row>
    <row r="403" spans="1:21" hidden="1" outlineLevel="1">
      <c r="D403" t="s">
        <v>959</v>
      </c>
      <c r="G403">
        <v>2018</v>
      </c>
      <c r="H403">
        <v>9</v>
      </c>
      <c r="I403">
        <v>0</v>
      </c>
      <c r="J403" t="s">
        <v>30</v>
      </c>
      <c r="K403">
        <f>+IF(L402-$O$3&gt;=3,L402-$O$3,3)</f>
        <v>3</v>
      </c>
      <c r="L403">
        <f t="shared" si="196"/>
        <v>2021</v>
      </c>
      <c r="M403" s="27">
        <f t="shared" si="197"/>
        <v>2021.75</v>
      </c>
      <c r="N403" s="5">
        <f>'2180 Trucks - Orig.'!N19-'2180 Trucks'!N402</f>
        <v>20376.300000000003</v>
      </c>
      <c r="O403" s="5">
        <f t="shared" si="198"/>
        <v>20376.300000000003</v>
      </c>
      <c r="P403" s="5">
        <f t="shared" si="199"/>
        <v>566.00833333333344</v>
      </c>
      <c r="Q403" s="5">
        <f t="shared" si="200"/>
        <v>6792.1000000000013</v>
      </c>
      <c r="R403" s="5">
        <f t="shared" si="201"/>
        <v>6792.1000000000013</v>
      </c>
      <c r="S403" s="5">
        <f t="shared" si="202"/>
        <v>0</v>
      </c>
      <c r="T403" s="5">
        <f t="shared" si="203"/>
        <v>6792.1000000000013</v>
      </c>
      <c r="U403" s="5">
        <f t="shared" si="204"/>
        <v>13584.2</v>
      </c>
    </row>
    <row r="404" spans="1:21" hidden="1" outlineLevel="1">
      <c r="A404" t="s">
        <v>34</v>
      </c>
      <c r="B404" t="s">
        <v>341</v>
      </c>
      <c r="C404">
        <v>1027</v>
      </c>
      <c r="D404" t="s">
        <v>769</v>
      </c>
      <c r="E404">
        <v>94206</v>
      </c>
      <c r="G404">
        <v>2000</v>
      </c>
      <c r="H404">
        <v>6</v>
      </c>
      <c r="I404">
        <v>0</v>
      </c>
      <c r="J404" t="s">
        <v>30</v>
      </c>
      <c r="K404">
        <v>7</v>
      </c>
      <c r="L404">
        <f t="shared" si="196"/>
        <v>2007</v>
      </c>
      <c r="M404" s="27">
        <f t="shared" si="197"/>
        <v>2007.5</v>
      </c>
      <c r="N404" s="5">
        <f>'2180 Trucks - Orig.'!O18</f>
        <v>76101.127999999997</v>
      </c>
      <c r="O404" s="5">
        <f t="shared" si="198"/>
        <v>76101.127999999997</v>
      </c>
      <c r="P404" s="5">
        <f t="shared" si="199"/>
        <v>905.96580952380953</v>
      </c>
      <c r="Q404" s="5">
        <f t="shared" si="200"/>
        <v>10871.589714285714</v>
      </c>
      <c r="R404" s="5">
        <f t="shared" si="201"/>
        <v>0</v>
      </c>
      <c r="S404" s="5">
        <f t="shared" si="202"/>
        <v>76101.127999999997</v>
      </c>
      <c r="T404" s="5">
        <f t="shared" si="203"/>
        <v>76101.127999999997</v>
      </c>
      <c r="U404" s="5">
        <f t="shared" si="204"/>
        <v>0</v>
      </c>
    </row>
    <row r="405" spans="1:21" hidden="1" outlineLevel="1">
      <c r="D405" t="s">
        <v>958</v>
      </c>
      <c r="G405">
        <v>2018</v>
      </c>
      <c r="H405">
        <v>9</v>
      </c>
      <c r="I405">
        <v>0</v>
      </c>
      <c r="J405" t="s">
        <v>30</v>
      </c>
      <c r="K405">
        <f>+IF(L404-$O$3&gt;=3,L404-$O$3,3)</f>
        <v>3</v>
      </c>
      <c r="L405">
        <f t="shared" si="196"/>
        <v>2021</v>
      </c>
      <c r="M405" s="27">
        <f t="shared" si="197"/>
        <v>2021.75</v>
      </c>
      <c r="N405" s="5">
        <f>'2180 Trucks - Orig.'!N18-'2180 Trucks'!N404</f>
        <v>19025.282000000007</v>
      </c>
      <c r="O405" s="5">
        <f t="shared" si="198"/>
        <v>19025.282000000007</v>
      </c>
      <c r="P405" s="5">
        <f t="shared" si="199"/>
        <v>528.48005555555574</v>
      </c>
      <c r="Q405" s="5">
        <f t="shared" si="200"/>
        <v>6341.7606666666688</v>
      </c>
      <c r="R405" s="5">
        <f t="shared" si="201"/>
        <v>6341.7606666666688</v>
      </c>
      <c r="S405" s="5">
        <f t="shared" si="202"/>
        <v>0</v>
      </c>
      <c r="T405" s="5">
        <f t="shared" si="203"/>
        <v>6341.7606666666688</v>
      </c>
      <c r="U405" s="5">
        <f t="shared" si="204"/>
        <v>12683.521333333338</v>
      </c>
    </row>
    <row r="406" spans="1:21" hidden="1" outlineLevel="1">
      <c r="B406" t="s">
        <v>341</v>
      </c>
      <c r="C406">
        <v>1027</v>
      </c>
      <c r="D406" t="s">
        <v>486</v>
      </c>
      <c r="E406">
        <v>94208</v>
      </c>
      <c r="G406">
        <v>2011</v>
      </c>
      <c r="H406">
        <v>6</v>
      </c>
      <c r="I406">
        <v>0</v>
      </c>
      <c r="J406" t="s">
        <v>30</v>
      </c>
      <c r="K406">
        <v>3</v>
      </c>
      <c r="L406">
        <f t="shared" si="196"/>
        <v>2014</v>
      </c>
      <c r="M406" s="27">
        <f t="shared" si="197"/>
        <v>2014.5</v>
      </c>
      <c r="N406" s="5">
        <v>7121.09</v>
      </c>
      <c r="O406" s="5">
        <f t="shared" si="198"/>
        <v>7121.09</v>
      </c>
      <c r="P406" s="5">
        <f t="shared" si="199"/>
        <v>197.80805555555557</v>
      </c>
      <c r="Q406" s="5">
        <f t="shared" si="200"/>
        <v>2373.6966666666667</v>
      </c>
      <c r="R406" s="5">
        <f t="shared" si="201"/>
        <v>0</v>
      </c>
      <c r="S406" s="5">
        <f t="shared" si="202"/>
        <v>7121.09</v>
      </c>
      <c r="T406" s="5">
        <f t="shared" si="203"/>
        <v>7121.09</v>
      </c>
      <c r="U406" s="5">
        <f t="shared" si="204"/>
        <v>0</v>
      </c>
    </row>
    <row r="407" spans="1:21" hidden="1" outlineLevel="1">
      <c r="C407">
        <v>1027</v>
      </c>
      <c r="D407" t="s">
        <v>625</v>
      </c>
      <c r="E407">
        <v>94207</v>
      </c>
      <c r="G407">
        <v>2012</v>
      </c>
      <c r="H407">
        <v>1</v>
      </c>
      <c r="I407">
        <v>0</v>
      </c>
      <c r="J407" t="s">
        <v>30</v>
      </c>
      <c r="K407">
        <v>3</v>
      </c>
      <c r="L407">
        <f t="shared" si="196"/>
        <v>2015</v>
      </c>
      <c r="M407" s="27">
        <f t="shared" si="197"/>
        <v>2015.0833333333333</v>
      </c>
      <c r="N407" s="5">
        <v>9199.7800000000007</v>
      </c>
      <c r="O407" s="5">
        <f t="shared" si="198"/>
        <v>9199.7800000000007</v>
      </c>
      <c r="P407" s="5">
        <f t="shared" si="199"/>
        <v>255.54944444444448</v>
      </c>
      <c r="Q407" s="5">
        <f t="shared" si="200"/>
        <v>3066.5933333333337</v>
      </c>
      <c r="R407" s="5">
        <f t="shared" si="201"/>
        <v>0</v>
      </c>
      <c r="S407" s="5">
        <f t="shared" si="202"/>
        <v>9199.7800000000007</v>
      </c>
      <c r="T407" s="5">
        <f t="shared" si="203"/>
        <v>9199.7800000000007</v>
      </c>
      <c r="U407" s="5">
        <f t="shared" si="204"/>
        <v>0</v>
      </c>
    </row>
    <row r="408" spans="1:21" hidden="1" outlineLevel="1">
      <c r="A408" t="s">
        <v>34</v>
      </c>
      <c r="B408" t="s">
        <v>478</v>
      </c>
      <c r="C408">
        <v>1023</v>
      </c>
      <c r="D408" t="s">
        <v>88</v>
      </c>
      <c r="G408">
        <v>2000</v>
      </c>
      <c r="H408">
        <v>1</v>
      </c>
      <c r="I408">
        <v>0</v>
      </c>
      <c r="J408" t="s">
        <v>30</v>
      </c>
      <c r="K408">
        <v>7</v>
      </c>
      <c r="L408">
        <f t="shared" si="196"/>
        <v>2007</v>
      </c>
      <c r="M408" s="27">
        <f t="shared" si="197"/>
        <v>2007.0833333333333</v>
      </c>
      <c r="N408" s="5">
        <f>'2180 Trucks - Orig.'!O16</f>
        <v>76101.127999999997</v>
      </c>
      <c r="O408" s="5">
        <f t="shared" si="198"/>
        <v>76101.127999999997</v>
      </c>
      <c r="P408" s="5">
        <f t="shared" si="199"/>
        <v>905.96580952380953</v>
      </c>
      <c r="Q408" s="5">
        <f t="shared" si="200"/>
        <v>10871.589714285714</v>
      </c>
      <c r="R408" s="5">
        <f t="shared" si="201"/>
        <v>0</v>
      </c>
      <c r="S408" s="5">
        <f t="shared" si="202"/>
        <v>76101.127999999997</v>
      </c>
      <c r="T408" s="5">
        <f t="shared" si="203"/>
        <v>76101.127999999997</v>
      </c>
      <c r="U408" s="5">
        <f t="shared" si="204"/>
        <v>0</v>
      </c>
    </row>
    <row r="409" spans="1:21" hidden="1" outlineLevel="1">
      <c r="D409" t="s">
        <v>956</v>
      </c>
      <c r="G409">
        <v>2018</v>
      </c>
      <c r="H409">
        <v>9</v>
      </c>
      <c r="I409">
        <v>0</v>
      </c>
      <c r="J409" t="s">
        <v>30</v>
      </c>
      <c r="K409">
        <f>+IF(L408-$O$3&gt;=3,L408-$O$3,3)</f>
        <v>3</v>
      </c>
      <c r="L409">
        <f t="shared" si="196"/>
        <v>2021</v>
      </c>
      <c r="M409" s="27">
        <f t="shared" si="197"/>
        <v>2021.75</v>
      </c>
      <c r="N409" s="5">
        <f>'2180 Trucks - Orig.'!N16-'2180 Trucks'!N408</f>
        <v>19025.282000000007</v>
      </c>
      <c r="O409" s="5">
        <f t="shared" si="198"/>
        <v>19025.282000000007</v>
      </c>
      <c r="P409" s="5">
        <f t="shared" si="199"/>
        <v>528.48005555555574</v>
      </c>
      <c r="Q409" s="5">
        <f t="shared" si="200"/>
        <v>6341.7606666666688</v>
      </c>
      <c r="R409" s="5">
        <f t="shared" si="201"/>
        <v>6341.7606666666688</v>
      </c>
      <c r="S409" s="5">
        <f t="shared" si="202"/>
        <v>0</v>
      </c>
      <c r="T409" s="5">
        <f t="shared" si="203"/>
        <v>6341.7606666666688</v>
      </c>
      <c r="U409" s="5">
        <f t="shared" si="204"/>
        <v>12683.521333333338</v>
      </c>
    </row>
    <row r="410" spans="1:21" hidden="1" outlineLevel="1">
      <c r="A410" t="s">
        <v>34</v>
      </c>
      <c r="B410" t="s">
        <v>478</v>
      </c>
      <c r="C410">
        <v>1023</v>
      </c>
      <c r="D410" t="s">
        <v>325</v>
      </c>
      <c r="G410">
        <v>2000</v>
      </c>
      <c r="H410">
        <v>2</v>
      </c>
      <c r="I410">
        <v>0</v>
      </c>
      <c r="J410" t="s">
        <v>30</v>
      </c>
      <c r="K410">
        <v>7</v>
      </c>
      <c r="L410">
        <f t="shared" si="196"/>
        <v>2007</v>
      </c>
      <c r="M410" s="27">
        <f t="shared" si="197"/>
        <v>2007.1666666666667</v>
      </c>
      <c r="N410" s="5">
        <f>'2180 Trucks - Orig.'!O17</f>
        <v>2601.6</v>
      </c>
      <c r="O410" s="5">
        <f t="shared" si="198"/>
        <v>2601.6</v>
      </c>
      <c r="P410" s="5">
        <f t="shared" si="199"/>
        <v>30.971428571428572</v>
      </c>
      <c r="Q410" s="5">
        <f t="shared" si="200"/>
        <v>371.65714285714284</v>
      </c>
      <c r="R410" s="5">
        <f t="shared" si="201"/>
        <v>0</v>
      </c>
      <c r="S410" s="5">
        <f t="shared" si="202"/>
        <v>2601.6</v>
      </c>
      <c r="T410" s="5">
        <f t="shared" si="203"/>
        <v>2601.6</v>
      </c>
      <c r="U410" s="5">
        <f t="shared" si="204"/>
        <v>0</v>
      </c>
    </row>
    <row r="411" spans="1:21" hidden="1" outlineLevel="1">
      <c r="D411" t="s">
        <v>957</v>
      </c>
      <c r="G411">
        <v>2018</v>
      </c>
      <c r="H411">
        <v>9</v>
      </c>
      <c r="I411">
        <v>0</v>
      </c>
      <c r="J411" t="s">
        <v>30</v>
      </c>
      <c r="K411">
        <f>+IF(L410-$O$3&gt;=3,L410-$O$3,3)</f>
        <v>3</v>
      </c>
      <c r="L411">
        <f t="shared" si="196"/>
        <v>2021</v>
      </c>
      <c r="M411" s="27">
        <f t="shared" si="197"/>
        <v>2021.75</v>
      </c>
      <c r="N411" s="5">
        <f>'2180 Trucks - Orig.'!N17-'2180 Trucks'!N410</f>
        <v>650.40000000000009</v>
      </c>
      <c r="O411" s="5">
        <f t="shared" si="198"/>
        <v>650.40000000000009</v>
      </c>
      <c r="P411" s="5">
        <f t="shared" si="199"/>
        <v>18.06666666666667</v>
      </c>
      <c r="Q411" s="5">
        <f t="shared" si="200"/>
        <v>216.80000000000004</v>
      </c>
      <c r="R411" s="5">
        <f t="shared" si="201"/>
        <v>216.80000000000004</v>
      </c>
      <c r="S411" s="5">
        <f t="shared" si="202"/>
        <v>0</v>
      </c>
      <c r="T411" s="5">
        <f t="shared" si="203"/>
        <v>216.80000000000004</v>
      </c>
      <c r="U411" s="5">
        <f t="shared" si="204"/>
        <v>433.6</v>
      </c>
    </row>
    <row r="412" spans="1:21" hidden="1" outlineLevel="1">
      <c r="A412" t="s">
        <v>36</v>
      </c>
      <c r="B412" t="s">
        <v>478</v>
      </c>
      <c r="C412">
        <v>1023</v>
      </c>
      <c r="D412" t="s">
        <v>373</v>
      </c>
      <c r="E412">
        <v>73239</v>
      </c>
      <c r="F412" t="s">
        <v>374</v>
      </c>
      <c r="G412">
        <v>2010</v>
      </c>
      <c r="H412">
        <v>4</v>
      </c>
      <c r="I412">
        <v>0</v>
      </c>
      <c r="J412" t="s">
        <v>30</v>
      </c>
      <c r="K412">
        <v>3</v>
      </c>
      <c r="L412">
        <f t="shared" si="196"/>
        <v>2013</v>
      </c>
      <c r="M412" s="27">
        <f t="shared" si="197"/>
        <v>2013.3333333333333</v>
      </c>
      <c r="N412" s="5">
        <v>9991.58</v>
      </c>
      <c r="O412" s="5">
        <f t="shared" si="198"/>
        <v>9991.58</v>
      </c>
      <c r="P412" s="5">
        <f t="shared" si="199"/>
        <v>277.54388888888889</v>
      </c>
      <c r="Q412" s="5">
        <f t="shared" si="200"/>
        <v>3330.5266666666666</v>
      </c>
      <c r="R412" s="5">
        <f t="shared" si="201"/>
        <v>0</v>
      </c>
      <c r="S412" s="5">
        <f t="shared" si="202"/>
        <v>9991.58</v>
      </c>
      <c r="T412" s="5">
        <f t="shared" si="203"/>
        <v>9991.58</v>
      </c>
      <c r="U412" s="5">
        <f t="shared" si="204"/>
        <v>0</v>
      </c>
    </row>
    <row r="413" spans="1:21" hidden="1" outlineLevel="1">
      <c r="A413" t="s">
        <v>201</v>
      </c>
      <c r="B413" t="s">
        <v>342</v>
      </c>
      <c r="C413">
        <v>3578</v>
      </c>
      <c r="D413" t="s">
        <v>196</v>
      </c>
      <c r="G413">
        <v>2005</v>
      </c>
      <c r="H413">
        <v>3</v>
      </c>
      <c r="I413">
        <v>0</v>
      </c>
      <c r="J413" t="s">
        <v>30</v>
      </c>
      <c r="K413">
        <v>7</v>
      </c>
      <c r="L413">
        <f t="shared" si="196"/>
        <v>2012</v>
      </c>
      <c r="M413" s="27">
        <f t="shared" si="197"/>
        <v>2012.25</v>
      </c>
      <c r="N413" s="5">
        <f>'2180 Trucks - Orig.'!O181</f>
        <v>138047.36799999999</v>
      </c>
      <c r="O413" s="5">
        <f t="shared" si="198"/>
        <v>138047.36799999999</v>
      </c>
      <c r="P413" s="5">
        <f t="shared" si="199"/>
        <v>1643.4210476190474</v>
      </c>
      <c r="Q413" s="5">
        <f t="shared" si="200"/>
        <v>19721.052571428569</v>
      </c>
      <c r="R413" s="5">
        <f t="shared" si="201"/>
        <v>0</v>
      </c>
      <c r="S413" s="5">
        <f t="shared" si="202"/>
        <v>138047.36799999999</v>
      </c>
      <c r="T413" s="5">
        <f t="shared" si="203"/>
        <v>138047.36799999999</v>
      </c>
      <c r="U413" s="5">
        <f t="shared" si="204"/>
        <v>0</v>
      </c>
    </row>
    <row r="414" spans="1:21" hidden="1" outlineLevel="1">
      <c r="D414" t="s">
        <v>991</v>
      </c>
      <c r="G414">
        <v>2018</v>
      </c>
      <c r="H414">
        <v>9</v>
      </c>
      <c r="I414">
        <v>0</v>
      </c>
      <c r="J414" t="s">
        <v>30</v>
      </c>
      <c r="K414">
        <f>+IF(L413-$O$3&gt;=3,L413-$O$3,3)</f>
        <v>3</v>
      </c>
      <c r="L414">
        <f t="shared" si="196"/>
        <v>2021</v>
      </c>
      <c r="M414" s="27">
        <f t="shared" si="197"/>
        <v>2021.75</v>
      </c>
      <c r="N414" s="5">
        <f>'2180 Trucks - Orig.'!N181-'2180 Trucks'!N413</f>
        <v>34511.842000000004</v>
      </c>
      <c r="O414" s="5">
        <f t="shared" si="198"/>
        <v>34511.842000000004</v>
      </c>
      <c r="P414" s="5">
        <f t="shared" si="199"/>
        <v>958.66227777777794</v>
      </c>
      <c r="Q414" s="5">
        <f t="shared" si="200"/>
        <v>11503.947333333335</v>
      </c>
      <c r="R414" s="5">
        <f t="shared" si="201"/>
        <v>11503.947333333335</v>
      </c>
      <c r="S414" s="5">
        <f t="shared" si="202"/>
        <v>0</v>
      </c>
      <c r="T414" s="5">
        <f t="shared" si="203"/>
        <v>11503.947333333335</v>
      </c>
      <c r="U414" s="5">
        <f t="shared" si="204"/>
        <v>23007.894666666667</v>
      </c>
    </row>
    <row r="415" spans="1:21" hidden="1" outlineLevel="1">
      <c r="C415">
        <v>3578</v>
      </c>
      <c r="D415" t="s">
        <v>751</v>
      </c>
      <c r="E415">
        <v>120991</v>
      </c>
      <c r="G415">
        <v>2015</v>
      </c>
      <c r="H415">
        <v>2</v>
      </c>
      <c r="I415">
        <v>0</v>
      </c>
      <c r="J415" t="s">
        <v>30</v>
      </c>
      <c r="K415">
        <v>3</v>
      </c>
      <c r="L415">
        <f t="shared" si="196"/>
        <v>2018</v>
      </c>
      <c r="M415" s="27">
        <f t="shared" si="197"/>
        <v>2018.1666666666667</v>
      </c>
      <c r="N415" s="5">
        <v>7629.49</v>
      </c>
      <c r="O415" s="5">
        <f t="shared" si="198"/>
        <v>7629.49</v>
      </c>
      <c r="P415" s="5">
        <f t="shared" si="199"/>
        <v>211.93027777777777</v>
      </c>
      <c r="Q415" s="5">
        <f t="shared" si="200"/>
        <v>2543.1633333333334</v>
      </c>
      <c r="R415" s="5">
        <f t="shared" si="201"/>
        <v>0</v>
      </c>
      <c r="S415" s="5">
        <f t="shared" si="202"/>
        <v>7629.49</v>
      </c>
      <c r="T415" s="5">
        <f t="shared" si="203"/>
        <v>7629.49</v>
      </c>
      <c r="U415" s="5">
        <f t="shared" si="204"/>
        <v>0</v>
      </c>
    </row>
    <row r="416" spans="1:21" hidden="1" outlineLevel="1">
      <c r="A416" t="s">
        <v>34</v>
      </c>
      <c r="B416" t="s">
        <v>345</v>
      </c>
      <c r="C416">
        <v>2025</v>
      </c>
      <c r="D416" t="s">
        <v>774</v>
      </c>
      <c r="G416">
        <v>2006</v>
      </c>
      <c r="H416">
        <v>8</v>
      </c>
      <c r="I416">
        <v>0</v>
      </c>
      <c r="J416" t="s">
        <v>30</v>
      </c>
      <c r="K416">
        <v>7</v>
      </c>
      <c r="L416">
        <f t="shared" si="196"/>
        <v>2013</v>
      </c>
      <c r="M416" s="27">
        <f t="shared" si="197"/>
        <v>2013.6666666666667</v>
      </c>
      <c r="N416" s="5">
        <f>'2180 Trucks - Orig.'!O29</f>
        <v>166993.89600000001</v>
      </c>
      <c r="O416" s="5">
        <f t="shared" si="198"/>
        <v>166993.89600000001</v>
      </c>
      <c r="P416" s="5">
        <f t="shared" si="199"/>
        <v>1988.0225714285716</v>
      </c>
      <c r="Q416" s="5">
        <f t="shared" si="200"/>
        <v>23856.270857142859</v>
      </c>
      <c r="R416" s="5">
        <f t="shared" si="201"/>
        <v>0</v>
      </c>
      <c r="S416" s="5">
        <f t="shared" si="202"/>
        <v>166993.89600000001</v>
      </c>
      <c r="T416" s="5">
        <f t="shared" si="203"/>
        <v>166993.89600000001</v>
      </c>
      <c r="U416" s="5">
        <f t="shared" si="204"/>
        <v>0</v>
      </c>
    </row>
    <row r="417" spans="1:23" hidden="1" outlineLevel="1">
      <c r="D417" t="s">
        <v>968</v>
      </c>
      <c r="G417">
        <v>2018</v>
      </c>
      <c r="H417">
        <v>9</v>
      </c>
      <c r="I417">
        <v>0</v>
      </c>
      <c r="J417" t="s">
        <v>30</v>
      </c>
      <c r="K417">
        <f>+IF(L416-$O$3&gt;=3,L416-$O$3,3)</f>
        <v>3</v>
      </c>
      <c r="L417">
        <f t="shared" si="196"/>
        <v>2021</v>
      </c>
      <c r="M417" s="27">
        <f t="shared" si="197"/>
        <v>2021.75</v>
      </c>
      <c r="N417" s="5">
        <f>'2180 Trucks - Orig.'!N29-'2180 Trucks'!N416</f>
        <v>41748.473999999987</v>
      </c>
      <c r="O417" s="5">
        <f t="shared" si="198"/>
        <v>41748.473999999987</v>
      </c>
      <c r="P417" s="5">
        <f t="shared" si="199"/>
        <v>1159.6798333333329</v>
      </c>
      <c r="Q417" s="5">
        <f t="shared" si="200"/>
        <v>13916.157999999996</v>
      </c>
      <c r="R417" s="5">
        <f t="shared" si="201"/>
        <v>13916.157999999996</v>
      </c>
      <c r="S417" s="5">
        <f t="shared" si="202"/>
        <v>0</v>
      </c>
      <c r="T417" s="5">
        <f t="shared" si="203"/>
        <v>13916.157999999996</v>
      </c>
      <c r="U417" s="5">
        <f t="shared" si="204"/>
        <v>27832.315999999992</v>
      </c>
    </row>
    <row r="418" spans="1:23" hidden="1" outlineLevel="1">
      <c r="B418" t="s">
        <v>345</v>
      </c>
      <c r="C418">
        <v>2025</v>
      </c>
      <c r="D418" t="s">
        <v>834</v>
      </c>
      <c r="E418">
        <v>167817</v>
      </c>
      <c r="F418">
        <v>90545</v>
      </c>
      <c r="G418">
        <v>2016</v>
      </c>
      <c r="H418">
        <v>8</v>
      </c>
      <c r="I418">
        <v>0</v>
      </c>
      <c r="J418" t="s">
        <v>30</v>
      </c>
      <c r="K418">
        <v>3</v>
      </c>
      <c r="L418">
        <f t="shared" si="196"/>
        <v>2019</v>
      </c>
      <c r="M418" s="27">
        <f t="shared" si="197"/>
        <v>2019.6666666666667</v>
      </c>
      <c r="N418" s="5">
        <v>10785.31</v>
      </c>
      <c r="O418" s="5">
        <f t="shared" si="198"/>
        <v>10785.31</v>
      </c>
      <c r="P418" s="5">
        <f t="shared" si="199"/>
        <v>299.59194444444444</v>
      </c>
      <c r="Q418" s="5">
        <f t="shared" si="200"/>
        <v>3595.1033333333335</v>
      </c>
      <c r="R418" s="5">
        <f t="shared" si="201"/>
        <v>2396.7355555555555</v>
      </c>
      <c r="S418" s="5">
        <f t="shared" si="202"/>
        <v>7190.2066666666669</v>
      </c>
      <c r="T418" s="5">
        <f t="shared" si="203"/>
        <v>9586.942222222222</v>
      </c>
      <c r="U418" s="5">
        <f t="shared" si="204"/>
        <v>1198.3677777777775</v>
      </c>
    </row>
    <row r="419" spans="1:23" hidden="1" outlineLevel="1">
      <c r="A419" t="s">
        <v>52</v>
      </c>
      <c r="B419" t="s">
        <v>421</v>
      </c>
      <c r="C419">
        <v>5567</v>
      </c>
      <c r="D419" t="s">
        <v>89</v>
      </c>
      <c r="G419">
        <v>2000</v>
      </c>
      <c r="H419">
        <v>4</v>
      </c>
      <c r="I419">
        <v>0</v>
      </c>
      <c r="J419" t="s">
        <v>30</v>
      </c>
      <c r="K419">
        <v>7</v>
      </c>
      <c r="L419">
        <f t="shared" si="196"/>
        <v>2007</v>
      </c>
      <c r="M419" s="27">
        <f t="shared" si="197"/>
        <v>2007.3333333333333</v>
      </c>
      <c r="N419" s="5">
        <f>'2180 Trucks - Orig.'!O270</f>
        <v>68002.720000000001</v>
      </c>
      <c r="O419" s="5">
        <f t="shared" si="198"/>
        <v>68002.720000000001</v>
      </c>
      <c r="P419" s="5">
        <f t="shared" si="199"/>
        <v>809.55619047619041</v>
      </c>
      <c r="Q419" s="5">
        <f t="shared" si="200"/>
        <v>9714.6742857142854</v>
      </c>
      <c r="R419" s="5">
        <f t="shared" si="201"/>
        <v>0</v>
      </c>
      <c r="S419" s="5">
        <f t="shared" si="202"/>
        <v>68002.720000000001</v>
      </c>
      <c r="T419" s="5">
        <f t="shared" si="203"/>
        <v>68002.720000000001</v>
      </c>
      <c r="U419" s="5">
        <f t="shared" si="204"/>
        <v>0</v>
      </c>
      <c r="W419" t="s">
        <v>428</v>
      </c>
    </row>
    <row r="420" spans="1:23" hidden="1" outlineLevel="1">
      <c r="D420" t="s">
        <v>1014</v>
      </c>
      <c r="G420">
        <v>2018</v>
      </c>
      <c r="H420">
        <v>9</v>
      </c>
      <c r="I420">
        <v>0</v>
      </c>
      <c r="J420" t="s">
        <v>30</v>
      </c>
      <c r="K420">
        <f>+IF(L419-$O$3&gt;=3,L419-$O$3,3)</f>
        <v>3</v>
      </c>
      <c r="L420">
        <f t="shared" si="196"/>
        <v>2021</v>
      </c>
      <c r="M420" s="27">
        <f t="shared" si="197"/>
        <v>2021.75</v>
      </c>
      <c r="N420" s="5">
        <f>'2180 Trucks - Orig.'!N270-'2180 Trucks'!N419</f>
        <v>17000.679999999993</v>
      </c>
      <c r="O420" s="5">
        <f t="shared" si="198"/>
        <v>17000.679999999993</v>
      </c>
      <c r="P420" s="5">
        <f t="shared" si="199"/>
        <v>472.24111111111091</v>
      </c>
      <c r="Q420" s="5">
        <f t="shared" si="200"/>
        <v>5666.8933333333307</v>
      </c>
      <c r="R420" s="5">
        <f t="shared" si="201"/>
        <v>5666.8933333333307</v>
      </c>
      <c r="S420" s="5">
        <f t="shared" si="202"/>
        <v>0</v>
      </c>
      <c r="T420" s="5">
        <f t="shared" si="203"/>
        <v>5666.8933333333307</v>
      </c>
      <c r="U420" s="5">
        <f t="shared" si="204"/>
        <v>11333.786666666663</v>
      </c>
    </row>
    <row r="421" spans="1:23" hidden="1" outlineLevel="1">
      <c r="A421" t="s">
        <v>52</v>
      </c>
      <c r="B421">
        <v>2182</v>
      </c>
      <c r="C421">
        <v>5565</v>
      </c>
      <c r="D421" t="s">
        <v>90</v>
      </c>
      <c r="G421">
        <v>2000</v>
      </c>
      <c r="H421">
        <v>4</v>
      </c>
      <c r="I421">
        <v>0</v>
      </c>
      <c r="J421" t="s">
        <v>30</v>
      </c>
      <c r="K421">
        <v>7</v>
      </c>
      <c r="L421">
        <f t="shared" ref="L421:L435" si="205">G421+K421</f>
        <v>2007</v>
      </c>
      <c r="M421" s="27">
        <f t="shared" ref="M421:M431" si="206">+L421+(H421/12)</f>
        <v>2007.3333333333333</v>
      </c>
      <c r="N421" s="5">
        <f>'2180 Trucks - Orig.'!O269</f>
        <v>70722.152000000002</v>
      </c>
      <c r="O421" s="5">
        <f t="shared" ref="O421:O431" si="207">N421-N421*I421</f>
        <v>70722.152000000002</v>
      </c>
      <c r="P421" s="5">
        <f t="shared" ref="P421:P431" si="208">O421/K421/12</f>
        <v>841.93038095238092</v>
      </c>
      <c r="Q421" s="5">
        <f t="shared" ref="Q421:Q431" si="209">P421*12</f>
        <v>10103.164571428571</v>
      </c>
      <c r="R421" s="5">
        <f t="shared" ref="R421:R445" si="210">+IF(M421&lt;=$O$5,0,IF(L421&gt;$O$4,Q421,(P421*H421)))</f>
        <v>0</v>
      </c>
      <c r="S421" s="5">
        <f t="shared" ref="S421:S445" si="211">+IF(R421=0,N421,IF($O$3-G421&lt;1,0,(($O$3-G421)*Q421)))</f>
        <v>70722.152000000002</v>
      </c>
      <c r="T421" s="5">
        <f t="shared" ref="T421:T445" si="212">+IF(R421=0,S421,S421+R421)</f>
        <v>70722.152000000002</v>
      </c>
      <c r="U421" s="5">
        <f t="shared" ref="U421:U444" si="213">+N421-T421</f>
        <v>0</v>
      </c>
      <c r="W421" t="s">
        <v>428</v>
      </c>
    </row>
    <row r="422" spans="1:23" hidden="1" outlineLevel="1">
      <c r="B422">
        <v>2182</v>
      </c>
      <c r="D422" t="s">
        <v>1013</v>
      </c>
      <c r="G422">
        <v>2018</v>
      </c>
      <c r="H422">
        <v>12</v>
      </c>
      <c r="I422">
        <v>0</v>
      </c>
      <c r="J422" t="s">
        <v>30</v>
      </c>
      <c r="K422">
        <f>+IF(L421-$O$3&gt;=3,L421-$O$3,3)</f>
        <v>3</v>
      </c>
      <c r="L422">
        <f t="shared" si="205"/>
        <v>2021</v>
      </c>
      <c r="M422" s="27">
        <f t="shared" si="206"/>
        <v>2022</v>
      </c>
      <c r="N422" s="5">
        <f>'2180 Trucks - Orig.'!N269-'2180 Trucks'!N421</f>
        <v>17680.538</v>
      </c>
      <c r="O422" s="5">
        <f t="shared" si="207"/>
        <v>17680.538</v>
      </c>
      <c r="P422" s="5">
        <f t="shared" si="208"/>
        <v>491.12605555555552</v>
      </c>
      <c r="Q422" s="5">
        <f t="shared" si="209"/>
        <v>5893.5126666666665</v>
      </c>
      <c r="R422" s="5">
        <f t="shared" si="210"/>
        <v>5893.5126666666665</v>
      </c>
      <c r="S422" s="5">
        <f t="shared" si="211"/>
        <v>0</v>
      </c>
      <c r="T422" s="5">
        <f t="shared" si="212"/>
        <v>5893.5126666666665</v>
      </c>
      <c r="U422" s="5">
        <f t="shared" si="213"/>
        <v>11787.025333333335</v>
      </c>
    </row>
    <row r="423" spans="1:23" hidden="1" outlineLevel="1">
      <c r="A423" t="s">
        <v>39</v>
      </c>
      <c r="B423">
        <v>2182</v>
      </c>
      <c r="C423">
        <v>8152</v>
      </c>
      <c r="D423" t="s">
        <v>820</v>
      </c>
      <c r="E423">
        <v>130862</v>
      </c>
      <c r="G423">
        <v>2008</v>
      </c>
      <c r="H423">
        <v>11</v>
      </c>
      <c r="I423">
        <v>0</v>
      </c>
      <c r="J423" t="s">
        <v>30</v>
      </c>
      <c r="K423">
        <v>5</v>
      </c>
      <c r="L423">
        <f t="shared" si="205"/>
        <v>2013</v>
      </c>
      <c r="M423" s="27">
        <f t="shared" si="206"/>
        <v>2013.9166666666667</v>
      </c>
      <c r="N423" s="5">
        <f>'2180 Trucks - Orig.'!O290</f>
        <v>17420</v>
      </c>
      <c r="O423" s="5">
        <f t="shared" si="207"/>
        <v>17420</v>
      </c>
      <c r="P423" s="5">
        <f t="shared" si="208"/>
        <v>290.33333333333331</v>
      </c>
      <c r="Q423" s="5">
        <f t="shared" si="209"/>
        <v>3484</v>
      </c>
      <c r="R423" s="5">
        <f t="shared" si="210"/>
        <v>0</v>
      </c>
      <c r="S423" s="5">
        <f t="shared" si="211"/>
        <v>17420</v>
      </c>
      <c r="T423" s="5">
        <f t="shared" si="212"/>
        <v>17420</v>
      </c>
      <c r="U423" s="5">
        <f t="shared" si="213"/>
        <v>0</v>
      </c>
    </row>
    <row r="424" spans="1:23" hidden="1" outlineLevel="1">
      <c r="B424">
        <v>2182</v>
      </c>
      <c r="D424" t="s">
        <v>1026</v>
      </c>
      <c r="G424">
        <v>2018</v>
      </c>
      <c r="H424">
        <v>12</v>
      </c>
      <c r="I424">
        <v>0</v>
      </c>
      <c r="J424" t="s">
        <v>30</v>
      </c>
      <c r="K424">
        <f>+IF(L423-$O$3&gt;=3,L423-$O$3,3)</f>
        <v>3</v>
      </c>
      <c r="L424">
        <f t="shared" si="205"/>
        <v>2021</v>
      </c>
      <c r="M424" s="27">
        <f t="shared" si="206"/>
        <v>2022</v>
      </c>
      <c r="N424" s="5">
        <f>'2180 Trucks - Orig.'!N290-'2180 Trucks'!N423</f>
        <v>8580</v>
      </c>
      <c r="O424" s="5">
        <f t="shared" si="207"/>
        <v>8580</v>
      </c>
      <c r="P424" s="5">
        <f t="shared" si="208"/>
        <v>238.33333333333334</v>
      </c>
      <c r="Q424" s="5">
        <f t="shared" si="209"/>
        <v>2860</v>
      </c>
      <c r="R424" s="5">
        <f t="shared" si="210"/>
        <v>2860</v>
      </c>
      <c r="S424" s="5">
        <f t="shared" si="211"/>
        <v>0</v>
      </c>
      <c r="T424" s="5">
        <f t="shared" si="212"/>
        <v>2860</v>
      </c>
      <c r="U424" s="5">
        <f t="shared" si="213"/>
        <v>5720</v>
      </c>
    </row>
    <row r="425" spans="1:23" hidden="1" outlineLevel="1">
      <c r="B425">
        <v>2182</v>
      </c>
      <c r="D425" t="s">
        <v>448</v>
      </c>
      <c r="E425" t="s">
        <v>447</v>
      </c>
      <c r="G425">
        <v>2009</v>
      </c>
      <c r="H425">
        <v>7</v>
      </c>
      <c r="I425">
        <v>0</v>
      </c>
      <c r="J425" t="s">
        <v>30</v>
      </c>
      <c r="K425">
        <v>5</v>
      </c>
      <c r="L425">
        <f t="shared" si="205"/>
        <v>2014</v>
      </c>
      <c r="M425" s="27">
        <f t="shared" si="206"/>
        <v>2014.5833333333333</v>
      </c>
      <c r="N425" s="5">
        <f>(34912.65+1078.65+10913.06)*10/46</f>
        <v>10196.6</v>
      </c>
      <c r="O425" s="5">
        <f t="shared" si="207"/>
        <v>10196.6</v>
      </c>
      <c r="P425" s="5">
        <f t="shared" si="208"/>
        <v>169.94333333333336</v>
      </c>
      <c r="Q425" s="5">
        <f t="shared" si="209"/>
        <v>2039.3200000000002</v>
      </c>
      <c r="R425" s="5">
        <f t="shared" si="210"/>
        <v>0</v>
      </c>
      <c r="S425" s="5">
        <f t="shared" si="211"/>
        <v>10196.6</v>
      </c>
      <c r="T425" s="5">
        <f t="shared" si="212"/>
        <v>10196.6</v>
      </c>
      <c r="U425" s="5">
        <f t="shared" si="213"/>
        <v>0</v>
      </c>
    </row>
    <row r="426" spans="1:23" hidden="1" outlineLevel="1">
      <c r="A426" t="s">
        <v>39</v>
      </c>
      <c r="B426">
        <v>2182</v>
      </c>
      <c r="C426">
        <v>8157</v>
      </c>
      <c r="D426" t="s">
        <v>425</v>
      </c>
      <c r="G426">
        <v>2000</v>
      </c>
      <c r="H426">
        <v>6</v>
      </c>
      <c r="I426">
        <v>0</v>
      </c>
      <c r="J426" t="s">
        <v>30</v>
      </c>
      <c r="K426">
        <v>5</v>
      </c>
      <c r="L426">
        <f t="shared" si="205"/>
        <v>2005</v>
      </c>
      <c r="M426" s="27">
        <f t="shared" si="206"/>
        <v>2005.5</v>
      </c>
      <c r="N426" s="5">
        <f>'2180 Trucks - Orig.'!O272</f>
        <v>907.84999999999991</v>
      </c>
      <c r="O426" s="5">
        <f t="shared" si="207"/>
        <v>907.84999999999991</v>
      </c>
      <c r="P426" s="5">
        <f t="shared" si="208"/>
        <v>15.130833333333333</v>
      </c>
      <c r="Q426" s="5">
        <f t="shared" si="209"/>
        <v>181.57</v>
      </c>
      <c r="R426" s="5">
        <f t="shared" si="210"/>
        <v>0</v>
      </c>
      <c r="S426" s="5">
        <f t="shared" si="211"/>
        <v>907.84999999999991</v>
      </c>
      <c r="T426" s="5">
        <f t="shared" si="212"/>
        <v>907.84999999999991</v>
      </c>
      <c r="U426" s="5">
        <f t="shared" si="213"/>
        <v>0</v>
      </c>
      <c r="W426" t="s">
        <v>372</v>
      </c>
    </row>
    <row r="427" spans="1:23" hidden="1" outlineLevel="1">
      <c r="B427">
        <v>2182</v>
      </c>
      <c r="D427" t="s">
        <v>1016</v>
      </c>
      <c r="G427">
        <v>2018</v>
      </c>
      <c r="H427">
        <v>12</v>
      </c>
      <c r="I427">
        <v>0</v>
      </c>
      <c r="J427" t="s">
        <v>30</v>
      </c>
      <c r="K427">
        <f>+IF(L426-$O$3&gt;=3,L426-$O$3,3)</f>
        <v>3</v>
      </c>
      <c r="L427">
        <f t="shared" si="205"/>
        <v>2021</v>
      </c>
      <c r="M427" s="27">
        <f t="shared" si="206"/>
        <v>2022</v>
      </c>
      <c r="N427" s="5">
        <f>'2180 Trucks - Orig.'!N272-'2180 Trucks'!N426</f>
        <v>447.15000000000009</v>
      </c>
      <c r="O427" s="5">
        <f t="shared" si="207"/>
        <v>447.15000000000009</v>
      </c>
      <c r="P427" s="5">
        <f t="shared" si="208"/>
        <v>12.420833333333336</v>
      </c>
      <c r="Q427" s="5">
        <f t="shared" si="209"/>
        <v>149.05000000000004</v>
      </c>
      <c r="R427" s="5">
        <f t="shared" si="210"/>
        <v>149.05000000000004</v>
      </c>
      <c r="S427" s="5">
        <f t="shared" si="211"/>
        <v>0</v>
      </c>
      <c r="T427" s="5">
        <f t="shared" si="212"/>
        <v>149.05000000000004</v>
      </c>
      <c r="U427" s="5">
        <f t="shared" si="213"/>
        <v>298.10000000000002</v>
      </c>
    </row>
    <row r="428" spans="1:23" hidden="1" outlineLevel="1">
      <c r="A428" t="s">
        <v>39</v>
      </c>
      <c r="B428">
        <v>2182</v>
      </c>
      <c r="C428">
        <v>8158</v>
      </c>
      <c r="D428" t="s">
        <v>147</v>
      </c>
      <c r="G428">
        <v>2000</v>
      </c>
      <c r="H428">
        <v>6</v>
      </c>
      <c r="I428">
        <v>0</v>
      </c>
      <c r="J428" t="s">
        <v>30</v>
      </c>
      <c r="K428">
        <v>5</v>
      </c>
      <c r="L428">
        <f t="shared" si="205"/>
        <v>2005</v>
      </c>
      <c r="M428" s="27">
        <f t="shared" si="206"/>
        <v>2005.5</v>
      </c>
      <c r="N428" s="5">
        <f>'2180 Trucks - Orig.'!O273</f>
        <v>907.84999999999991</v>
      </c>
      <c r="O428" s="5">
        <f t="shared" si="207"/>
        <v>907.84999999999991</v>
      </c>
      <c r="P428" s="5">
        <f t="shared" si="208"/>
        <v>15.130833333333333</v>
      </c>
      <c r="Q428" s="5">
        <f t="shared" si="209"/>
        <v>181.57</v>
      </c>
      <c r="R428" s="5">
        <f t="shared" si="210"/>
        <v>0</v>
      </c>
      <c r="S428" s="5">
        <f t="shared" si="211"/>
        <v>907.84999999999991</v>
      </c>
      <c r="T428" s="5">
        <f t="shared" si="212"/>
        <v>907.84999999999991</v>
      </c>
      <c r="U428" s="5">
        <f t="shared" si="213"/>
        <v>0</v>
      </c>
      <c r="W428" t="s">
        <v>372</v>
      </c>
    </row>
    <row r="429" spans="1:23" hidden="1" outlineLevel="1">
      <c r="B429">
        <v>2182</v>
      </c>
      <c r="D429" t="s">
        <v>1016</v>
      </c>
      <c r="G429">
        <v>2018</v>
      </c>
      <c r="H429">
        <v>12</v>
      </c>
      <c r="I429">
        <v>0</v>
      </c>
      <c r="J429" t="s">
        <v>30</v>
      </c>
      <c r="K429">
        <f>+IF(L428-$O$3&gt;=3,L428-$O$3,3)</f>
        <v>3</v>
      </c>
      <c r="L429">
        <f t="shared" si="205"/>
        <v>2021</v>
      </c>
      <c r="M429" s="27">
        <f t="shared" si="206"/>
        <v>2022</v>
      </c>
      <c r="N429" s="5">
        <f>'2180 Trucks - Orig.'!N273-'2180 Trucks'!N428</f>
        <v>447.15000000000009</v>
      </c>
      <c r="O429" s="5">
        <f t="shared" si="207"/>
        <v>447.15000000000009</v>
      </c>
      <c r="P429" s="5">
        <f t="shared" si="208"/>
        <v>12.420833333333336</v>
      </c>
      <c r="Q429" s="5">
        <f t="shared" si="209"/>
        <v>149.05000000000004</v>
      </c>
      <c r="R429" s="5">
        <f t="shared" si="210"/>
        <v>149.05000000000004</v>
      </c>
      <c r="S429" s="5">
        <f t="shared" si="211"/>
        <v>0</v>
      </c>
      <c r="T429" s="5">
        <f t="shared" si="212"/>
        <v>149.05000000000004</v>
      </c>
      <c r="U429" s="5">
        <f t="shared" si="213"/>
        <v>298.10000000000002</v>
      </c>
    </row>
    <row r="430" spans="1:23" hidden="1" outlineLevel="1">
      <c r="A430" t="s">
        <v>52</v>
      </c>
      <c r="B430">
        <v>2182</v>
      </c>
      <c r="C430">
        <v>8030</v>
      </c>
      <c r="D430" t="s">
        <v>544</v>
      </c>
      <c r="G430">
        <v>2006</v>
      </c>
      <c r="H430">
        <v>5</v>
      </c>
      <c r="I430">
        <v>0</v>
      </c>
      <c r="J430" t="s">
        <v>30</v>
      </c>
      <c r="K430">
        <v>5</v>
      </c>
      <c r="L430">
        <f t="shared" si="205"/>
        <v>2011</v>
      </c>
      <c r="M430" s="27">
        <f t="shared" si="206"/>
        <v>2011.4166666666667</v>
      </c>
      <c r="N430" s="5">
        <f>'2180 Trucks - Orig.'!O282</f>
        <v>9523.3464999999997</v>
      </c>
      <c r="O430" s="5">
        <f t="shared" si="207"/>
        <v>9523.3464999999997</v>
      </c>
      <c r="P430" s="5">
        <f t="shared" si="208"/>
        <v>158.72244166666667</v>
      </c>
      <c r="Q430" s="5">
        <f t="shared" si="209"/>
        <v>1904.6693</v>
      </c>
      <c r="R430" s="5">
        <f t="shared" si="210"/>
        <v>0</v>
      </c>
      <c r="S430" s="5">
        <f t="shared" si="211"/>
        <v>9523.3464999999997</v>
      </c>
      <c r="T430" s="5">
        <f t="shared" si="212"/>
        <v>9523.3464999999997</v>
      </c>
      <c r="U430" s="5">
        <f t="shared" si="213"/>
        <v>0</v>
      </c>
    </row>
    <row r="431" spans="1:23" hidden="1" outlineLevel="1">
      <c r="B431">
        <v>2182</v>
      </c>
      <c r="D431" t="s">
        <v>1023</v>
      </c>
      <c r="G431">
        <v>2018</v>
      </c>
      <c r="H431">
        <v>12</v>
      </c>
      <c r="I431">
        <v>0</v>
      </c>
      <c r="J431" t="s">
        <v>30</v>
      </c>
      <c r="K431">
        <f>+IF(L430-$O$3&gt;=3,L430-$O$3,3)</f>
        <v>3</v>
      </c>
      <c r="L431">
        <f t="shared" si="205"/>
        <v>2021</v>
      </c>
      <c r="M431" s="27">
        <f t="shared" si="206"/>
        <v>2022</v>
      </c>
      <c r="N431" s="5">
        <f>'2180 Trucks - Orig.'!N282-'2180 Trucks'!N430</f>
        <v>4690.6035000000011</v>
      </c>
      <c r="O431" s="5">
        <f t="shared" si="207"/>
        <v>4690.6035000000011</v>
      </c>
      <c r="P431" s="5">
        <f t="shared" si="208"/>
        <v>130.2945416666667</v>
      </c>
      <c r="Q431" s="5">
        <f t="shared" si="209"/>
        <v>1563.5345000000004</v>
      </c>
      <c r="R431" s="5">
        <f t="shared" si="210"/>
        <v>1563.5345000000004</v>
      </c>
      <c r="S431" s="5">
        <f t="shared" si="211"/>
        <v>0</v>
      </c>
      <c r="T431" s="5">
        <f t="shared" si="212"/>
        <v>1563.5345000000004</v>
      </c>
      <c r="U431" s="5">
        <f t="shared" si="213"/>
        <v>3127.0690000000004</v>
      </c>
    </row>
    <row r="432" spans="1:23" hidden="1" outlineLevel="1">
      <c r="B432">
        <v>2182</v>
      </c>
      <c r="C432">
        <v>5653</v>
      </c>
      <c r="D432" t="s">
        <v>937</v>
      </c>
      <c r="E432">
        <v>195818</v>
      </c>
      <c r="F432" t="s">
        <v>372</v>
      </c>
      <c r="G432">
        <v>2018</v>
      </c>
      <c r="H432">
        <v>4</v>
      </c>
      <c r="I432">
        <v>0</v>
      </c>
      <c r="J432" t="s">
        <v>30</v>
      </c>
      <c r="K432">
        <v>8</v>
      </c>
      <c r="L432">
        <f t="shared" si="205"/>
        <v>2026</v>
      </c>
      <c r="M432" s="27">
        <f t="shared" ref="M432:M454" si="214">+L432+(H432/12)</f>
        <v>2026.3333333333333</v>
      </c>
      <c r="N432" s="5">
        <v>116812</v>
      </c>
      <c r="O432" s="5">
        <f t="shared" ref="O432:O442" si="215">N432-N432*I432</f>
        <v>116812</v>
      </c>
      <c r="P432" s="5">
        <f t="shared" ref="P432:P442" si="216">O432/K432/12</f>
        <v>1216.7916666666667</v>
      </c>
      <c r="Q432" s="5">
        <f t="shared" ref="Q432:Q438" si="217">P432*12</f>
        <v>14601.5</v>
      </c>
      <c r="R432" s="5">
        <f t="shared" si="210"/>
        <v>14601.5</v>
      </c>
      <c r="S432" s="5">
        <f t="shared" si="211"/>
        <v>0</v>
      </c>
      <c r="T432" s="5">
        <f t="shared" si="212"/>
        <v>14601.5</v>
      </c>
      <c r="U432" s="5">
        <f t="shared" si="213"/>
        <v>102210.5</v>
      </c>
    </row>
    <row r="433" spans="2:22" hidden="1" outlineLevel="1">
      <c r="B433">
        <v>2182</v>
      </c>
      <c r="C433">
        <v>5653</v>
      </c>
      <c r="D433" t="s">
        <v>941</v>
      </c>
      <c r="E433">
        <v>199419</v>
      </c>
      <c r="F433">
        <v>195818</v>
      </c>
      <c r="G433">
        <v>2018</v>
      </c>
      <c r="H433">
        <v>4</v>
      </c>
      <c r="I433">
        <v>0</v>
      </c>
      <c r="J433" t="s">
        <v>30</v>
      </c>
      <c r="K433">
        <v>8</v>
      </c>
      <c r="L433">
        <f t="shared" si="205"/>
        <v>2026</v>
      </c>
      <c r="M433" s="27">
        <f t="shared" si="214"/>
        <v>2026.3333333333333</v>
      </c>
      <c r="N433" s="5">
        <v>6467.4</v>
      </c>
      <c r="O433" s="5">
        <f t="shared" si="215"/>
        <v>6467.4</v>
      </c>
      <c r="P433" s="5">
        <f t="shared" si="216"/>
        <v>67.368749999999991</v>
      </c>
      <c r="Q433" s="5">
        <f t="shared" si="217"/>
        <v>808.42499999999995</v>
      </c>
      <c r="R433" s="5">
        <f t="shared" si="210"/>
        <v>808.42499999999995</v>
      </c>
      <c r="S433" s="5">
        <f t="shared" si="211"/>
        <v>0</v>
      </c>
      <c r="T433" s="5">
        <f t="shared" si="212"/>
        <v>808.42499999999995</v>
      </c>
      <c r="U433" s="5">
        <f t="shared" si="213"/>
        <v>5658.9749999999995</v>
      </c>
    </row>
    <row r="434" spans="2:22" hidden="1" outlineLevel="1">
      <c r="B434">
        <v>2182</v>
      </c>
      <c r="C434">
        <v>5654</v>
      </c>
      <c r="D434" t="s">
        <v>937</v>
      </c>
      <c r="E434">
        <v>195819</v>
      </c>
      <c r="F434" t="s">
        <v>372</v>
      </c>
      <c r="G434">
        <v>2018</v>
      </c>
      <c r="H434">
        <v>4</v>
      </c>
      <c r="I434">
        <v>0</v>
      </c>
      <c r="J434" t="s">
        <v>30</v>
      </c>
      <c r="K434">
        <v>8</v>
      </c>
      <c r="L434">
        <f t="shared" si="205"/>
        <v>2026</v>
      </c>
      <c r="M434" s="27">
        <f t="shared" si="214"/>
        <v>2026.3333333333333</v>
      </c>
      <c r="N434" s="5">
        <v>116812</v>
      </c>
      <c r="O434" s="5">
        <f t="shared" si="215"/>
        <v>116812</v>
      </c>
      <c r="P434" s="5">
        <f t="shared" si="216"/>
        <v>1216.7916666666667</v>
      </c>
      <c r="Q434" s="5">
        <f t="shared" si="217"/>
        <v>14601.5</v>
      </c>
      <c r="R434" s="5">
        <f t="shared" si="210"/>
        <v>14601.5</v>
      </c>
      <c r="S434" s="5">
        <f t="shared" si="211"/>
        <v>0</v>
      </c>
      <c r="T434" s="5">
        <f t="shared" si="212"/>
        <v>14601.5</v>
      </c>
      <c r="U434" s="5">
        <f t="shared" si="213"/>
        <v>102210.5</v>
      </c>
    </row>
    <row r="435" spans="2:22" hidden="1" outlineLevel="1">
      <c r="B435">
        <v>2182</v>
      </c>
      <c r="C435">
        <v>5654</v>
      </c>
      <c r="D435" t="s">
        <v>941</v>
      </c>
      <c r="E435">
        <v>199420</v>
      </c>
      <c r="F435">
        <v>195819</v>
      </c>
      <c r="G435">
        <v>2018</v>
      </c>
      <c r="H435">
        <v>4</v>
      </c>
      <c r="I435">
        <v>0</v>
      </c>
      <c r="J435" t="s">
        <v>30</v>
      </c>
      <c r="K435">
        <v>8</v>
      </c>
      <c r="L435">
        <f t="shared" si="205"/>
        <v>2026</v>
      </c>
      <c r="M435" s="27">
        <f t="shared" si="214"/>
        <v>2026.3333333333333</v>
      </c>
      <c r="N435" s="5">
        <v>6467.4</v>
      </c>
      <c r="O435" s="5">
        <f t="shared" si="215"/>
        <v>6467.4</v>
      </c>
      <c r="P435" s="5">
        <f t="shared" si="216"/>
        <v>67.368749999999991</v>
      </c>
      <c r="Q435" s="5">
        <f t="shared" si="217"/>
        <v>808.42499999999995</v>
      </c>
      <c r="R435" s="5">
        <f t="shared" si="210"/>
        <v>808.42499999999995</v>
      </c>
      <c r="S435" s="5">
        <f t="shared" si="211"/>
        <v>0</v>
      </c>
      <c r="T435" s="5">
        <f t="shared" si="212"/>
        <v>808.42499999999995</v>
      </c>
      <c r="U435" s="5">
        <f t="shared" si="213"/>
        <v>5658.9749999999995</v>
      </c>
    </row>
    <row r="436" spans="2:22" hidden="1" outlineLevel="1">
      <c r="B436">
        <v>2182</v>
      </c>
      <c r="C436">
        <v>5655</v>
      </c>
      <c r="D436" t="s">
        <v>937</v>
      </c>
      <c r="E436">
        <v>205799</v>
      </c>
      <c r="F436" t="s">
        <v>372</v>
      </c>
      <c r="G436">
        <v>2018</v>
      </c>
      <c r="H436">
        <v>11</v>
      </c>
      <c r="I436">
        <v>0</v>
      </c>
      <c r="J436" t="s">
        <v>30</v>
      </c>
      <c r="K436">
        <v>7</v>
      </c>
      <c r="L436">
        <f t="shared" ref="L436:L454" si="218">G436+K436</f>
        <v>2025</v>
      </c>
      <c r="M436" s="27">
        <f t="shared" si="214"/>
        <v>2025.9166666666667</v>
      </c>
      <c r="N436" s="5">
        <v>110200</v>
      </c>
      <c r="O436" s="5">
        <f t="shared" si="215"/>
        <v>110200</v>
      </c>
      <c r="P436" s="5">
        <f t="shared" si="216"/>
        <v>1311.9047619047619</v>
      </c>
      <c r="Q436" s="5">
        <f t="shared" si="217"/>
        <v>15742.857142857143</v>
      </c>
      <c r="R436" s="5">
        <f t="shared" si="210"/>
        <v>15742.857142857143</v>
      </c>
      <c r="S436" s="5">
        <f t="shared" si="211"/>
        <v>0</v>
      </c>
      <c r="T436" s="5">
        <f t="shared" si="212"/>
        <v>15742.857142857143</v>
      </c>
      <c r="U436" s="5">
        <f t="shared" si="213"/>
        <v>94457.142857142855</v>
      </c>
      <c r="V436">
        <v>2182</v>
      </c>
    </row>
    <row r="437" spans="2:22" hidden="1" outlineLevel="1">
      <c r="B437">
        <v>2182</v>
      </c>
      <c r="C437">
        <v>5657</v>
      </c>
      <c r="D437" t="s">
        <v>937</v>
      </c>
      <c r="E437">
        <v>205800</v>
      </c>
      <c r="F437" t="s">
        <v>372</v>
      </c>
      <c r="G437">
        <v>2018</v>
      </c>
      <c r="H437">
        <v>11</v>
      </c>
      <c r="I437">
        <v>0</v>
      </c>
      <c r="J437" t="s">
        <v>30</v>
      </c>
      <c r="K437">
        <v>7</v>
      </c>
      <c r="L437">
        <f t="shared" si="218"/>
        <v>2025</v>
      </c>
      <c r="M437" s="27">
        <f t="shared" si="214"/>
        <v>2025.9166666666667</v>
      </c>
      <c r="N437" s="5">
        <v>113506</v>
      </c>
      <c r="O437" s="5">
        <f t="shared" si="215"/>
        <v>113506</v>
      </c>
      <c r="P437" s="5">
        <f t="shared" si="216"/>
        <v>1351.2619047619048</v>
      </c>
      <c r="Q437" s="5">
        <f t="shared" si="217"/>
        <v>16215.142857142859</v>
      </c>
      <c r="R437" s="5">
        <f t="shared" si="210"/>
        <v>16215.142857142859</v>
      </c>
      <c r="S437" s="5">
        <f t="shared" si="211"/>
        <v>0</v>
      </c>
      <c r="T437" s="5">
        <f t="shared" si="212"/>
        <v>16215.142857142859</v>
      </c>
      <c r="U437" s="5">
        <f t="shared" si="213"/>
        <v>97290.857142857145</v>
      </c>
      <c r="V437">
        <v>2182</v>
      </c>
    </row>
    <row r="438" spans="2:22" hidden="1" outlineLevel="1">
      <c r="B438">
        <v>2182</v>
      </c>
      <c r="C438">
        <v>5656</v>
      </c>
      <c r="D438" t="s">
        <v>937</v>
      </c>
      <c r="E438">
        <v>205801</v>
      </c>
      <c r="F438" t="s">
        <v>372</v>
      </c>
      <c r="G438">
        <v>2018</v>
      </c>
      <c r="H438">
        <v>11</v>
      </c>
      <c r="I438">
        <v>0</v>
      </c>
      <c r="J438" t="s">
        <v>30</v>
      </c>
      <c r="K438">
        <v>7</v>
      </c>
      <c r="L438">
        <f t="shared" si="218"/>
        <v>2025</v>
      </c>
      <c r="M438" s="27">
        <f t="shared" si="214"/>
        <v>2025.9166666666667</v>
      </c>
      <c r="N438" s="5">
        <v>110200</v>
      </c>
      <c r="O438" s="5">
        <f t="shared" si="215"/>
        <v>110200</v>
      </c>
      <c r="P438" s="5">
        <f t="shared" si="216"/>
        <v>1311.9047619047619</v>
      </c>
      <c r="Q438" s="5">
        <f t="shared" si="217"/>
        <v>15742.857142857143</v>
      </c>
      <c r="R438" s="5">
        <f t="shared" si="210"/>
        <v>15742.857142857143</v>
      </c>
      <c r="S438" s="5">
        <f t="shared" si="211"/>
        <v>0</v>
      </c>
      <c r="T438" s="5">
        <f t="shared" si="212"/>
        <v>15742.857142857143</v>
      </c>
      <c r="U438" s="5">
        <f t="shared" si="213"/>
        <v>94457.142857142855</v>
      </c>
      <c r="V438">
        <v>2182</v>
      </c>
    </row>
    <row r="439" spans="2:22" hidden="1" outlineLevel="1">
      <c r="B439">
        <v>2182</v>
      </c>
      <c r="C439">
        <v>5656</v>
      </c>
      <c r="D439" t="s">
        <v>1090</v>
      </c>
      <c r="E439">
        <v>206192</v>
      </c>
      <c r="F439">
        <v>205636</v>
      </c>
      <c r="G439">
        <v>2018</v>
      </c>
      <c r="H439">
        <v>11</v>
      </c>
      <c r="I439">
        <v>0</v>
      </c>
      <c r="J439" t="s">
        <v>30</v>
      </c>
      <c r="K439">
        <v>7</v>
      </c>
      <c r="L439">
        <f t="shared" si="218"/>
        <v>2025</v>
      </c>
      <c r="M439" s="27">
        <f t="shared" si="214"/>
        <v>2025.9166666666667</v>
      </c>
      <c r="N439" s="5">
        <v>7210.63</v>
      </c>
      <c r="O439" s="5">
        <f t="shared" si="215"/>
        <v>7210.63</v>
      </c>
      <c r="P439" s="5">
        <f t="shared" si="216"/>
        <v>85.840833333333322</v>
      </c>
      <c r="Q439" s="5">
        <f t="shared" ref="Q439:Q454" si="219">P439*12</f>
        <v>1030.0899999999999</v>
      </c>
      <c r="R439" s="5">
        <f t="shared" si="210"/>
        <v>1030.0899999999999</v>
      </c>
      <c r="S439" s="5">
        <f t="shared" si="211"/>
        <v>0</v>
      </c>
      <c r="T439" s="5">
        <f t="shared" si="212"/>
        <v>1030.0899999999999</v>
      </c>
      <c r="U439" s="5">
        <f t="shared" si="213"/>
        <v>6180.54</v>
      </c>
      <c r="V439">
        <v>2182</v>
      </c>
    </row>
    <row r="440" spans="2:22" hidden="1" outlineLevel="1">
      <c r="B440">
        <v>2182</v>
      </c>
      <c r="C440">
        <v>5655</v>
      </c>
      <c r="D440" t="s">
        <v>1091</v>
      </c>
      <c r="E440">
        <v>206191</v>
      </c>
      <c r="F440">
        <v>205799</v>
      </c>
      <c r="G440">
        <v>2018</v>
      </c>
      <c r="H440">
        <v>11</v>
      </c>
      <c r="I440">
        <v>0</v>
      </c>
      <c r="J440" t="s">
        <v>30</v>
      </c>
      <c r="K440">
        <v>7</v>
      </c>
      <c r="L440">
        <f t="shared" si="218"/>
        <v>2025</v>
      </c>
      <c r="M440" s="27">
        <f t="shared" si="214"/>
        <v>2025.9166666666667</v>
      </c>
      <c r="N440" s="5">
        <v>7210.63</v>
      </c>
      <c r="O440" s="5">
        <f t="shared" si="215"/>
        <v>7210.63</v>
      </c>
      <c r="P440" s="5">
        <f t="shared" si="216"/>
        <v>85.840833333333322</v>
      </c>
      <c r="Q440" s="5">
        <f t="shared" si="219"/>
        <v>1030.0899999999999</v>
      </c>
      <c r="R440" s="5">
        <f t="shared" si="210"/>
        <v>1030.0899999999999</v>
      </c>
      <c r="S440" s="5">
        <f t="shared" si="211"/>
        <v>0</v>
      </c>
      <c r="T440" s="5">
        <f t="shared" si="212"/>
        <v>1030.0899999999999</v>
      </c>
      <c r="U440" s="5">
        <f t="shared" si="213"/>
        <v>6180.54</v>
      </c>
      <c r="V440">
        <v>2182</v>
      </c>
    </row>
    <row r="441" spans="2:22" hidden="1" outlineLevel="1">
      <c r="B441">
        <v>2182</v>
      </c>
      <c r="C441">
        <v>5657</v>
      </c>
      <c r="D441" t="s">
        <v>1090</v>
      </c>
      <c r="E441">
        <v>206193</v>
      </c>
      <c r="F441">
        <v>205800</v>
      </c>
      <c r="G441">
        <v>2018</v>
      </c>
      <c r="H441">
        <v>11</v>
      </c>
      <c r="I441">
        <v>0</v>
      </c>
      <c r="J441" t="s">
        <v>30</v>
      </c>
      <c r="K441">
        <v>8</v>
      </c>
      <c r="L441">
        <f t="shared" si="218"/>
        <v>2026</v>
      </c>
      <c r="M441" s="27">
        <f t="shared" si="214"/>
        <v>2026.9166666666667</v>
      </c>
      <c r="N441" s="5">
        <v>7210.63</v>
      </c>
      <c r="O441" s="5">
        <f t="shared" si="215"/>
        <v>7210.63</v>
      </c>
      <c r="P441" s="5">
        <f t="shared" si="216"/>
        <v>75.110729166666673</v>
      </c>
      <c r="Q441" s="5">
        <f t="shared" si="219"/>
        <v>901.32875000000013</v>
      </c>
      <c r="R441" s="5">
        <f t="shared" si="210"/>
        <v>901.32875000000013</v>
      </c>
      <c r="S441" s="5">
        <f t="shared" si="211"/>
        <v>0</v>
      </c>
      <c r="T441" s="5">
        <f t="shared" si="212"/>
        <v>901.32875000000013</v>
      </c>
      <c r="U441" s="5">
        <f t="shared" si="213"/>
        <v>6309.3012500000004</v>
      </c>
      <c r="V441">
        <v>2182</v>
      </c>
    </row>
    <row r="442" spans="2:22" hidden="1" outlineLevel="1">
      <c r="B442">
        <v>2182</v>
      </c>
      <c r="C442">
        <v>5656</v>
      </c>
      <c r="D442" t="s">
        <v>1090</v>
      </c>
      <c r="E442">
        <v>206194</v>
      </c>
      <c r="F442">
        <v>205801</v>
      </c>
      <c r="G442">
        <v>2018</v>
      </c>
      <c r="H442">
        <v>11</v>
      </c>
      <c r="I442">
        <v>0</v>
      </c>
      <c r="J442" t="s">
        <v>30</v>
      </c>
      <c r="K442">
        <v>7</v>
      </c>
      <c r="L442">
        <f t="shared" si="218"/>
        <v>2025</v>
      </c>
      <c r="M442" s="27">
        <f t="shared" si="214"/>
        <v>2025.9166666666667</v>
      </c>
      <c r="N442" s="5">
        <v>7210.63</v>
      </c>
      <c r="O442" s="5">
        <f t="shared" si="215"/>
        <v>7210.63</v>
      </c>
      <c r="P442" s="5">
        <f t="shared" si="216"/>
        <v>85.840833333333322</v>
      </c>
      <c r="Q442" s="5">
        <f t="shared" si="219"/>
        <v>1030.0899999999999</v>
      </c>
      <c r="R442" s="5">
        <f t="shared" si="210"/>
        <v>1030.0899999999999</v>
      </c>
      <c r="S442" s="5">
        <f t="shared" si="211"/>
        <v>0</v>
      </c>
      <c r="T442" s="5">
        <f t="shared" si="212"/>
        <v>1030.0899999999999</v>
      </c>
      <c r="U442" s="5">
        <f t="shared" si="213"/>
        <v>6180.54</v>
      </c>
      <c r="V442">
        <v>2182</v>
      </c>
    </row>
    <row r="443" spans="2:22" hidden="1" outlineLevel="1">
      <c r="B443">
        <v>2182</v>
      </c>
      <c r="C443">
        <v>5653</v>
      </c>
      <c r="D443" t="s">
        <v>1080</v>
      </c>
      <c r="E443">
        <v>206278</v>
      </c>
      <c r="F443">
        <v>195818</v>
      </c>
      <c r="G443">
        <v>2018</v>
      </c>
      <c r="H443">
        <v>4</v>
      </c>
      <c r="I443">
        <v>0</v>
      </c>
      <c r="J443" t="s">
        <v>30</v>
      </c>
      <c r="K443">
        <v>5</v>
      </c>
      <c r="L443">
        <f t="shared" si="218"/>
        <v>2023</v>
      </c>
      <c r="M443" s="27">
        <f t="shared" si="214"/>
        <v>2023.3333333333333</v>
      </c>
      <c r="N443" s="5">
        <v>437.72</v>
      </c>
      <c r="O443" s="5">
        <f t="shared" ref="O443:O449" si="220">N443-N443*I443</f>
        <v>437.72</v>
      </c>
      <c r="P443" s="5">
        <f t="shared" ref="P443:P449" si="221">O443/K443/12</f>
        <v>7.2953333333333346</v>
      </c>
      <c r="Q443" s="5">
        <f t="shared" si="219"/>
        <v>87.544000000000011</v>
      </c>
      <c r="R443" s="5">
        <f t="shared" si="210"/>
        <v>87.544000000000011</v>
      </c>
      <c r="S443" s="5">
        <f t="shared" si="211"/>
        <v>0</v>
      </c>
      <c r="T443" s="5">
        <f t="shared" si="212"/>
        <v>87.544000000000011</v>
      </c>
      <c r="U443" s="5">
        <f t="shared" si="213"/>
        <v>350.17600000000004</v>
      </c>
      <c r="V443">
        <v>2182</v>
      </c>
    </row>
    <row r="444" spans="2:22" hidden="1" outlineLevel="1">
      <c r="B444">
        <v>2182</v>
      </c>
      <c r="C444">
        <v>5654</v>
      </c>
      <c r="D444" t="s">
        <v>1080</v>
      </c>
      <c r="E444">
        <v>206279</v>
      </c>
      <c r="F444">
        <v>195819</v>
      </c>
      <c r="G444">
        <v>2018</v>
      </c>
      <c r="H444">
        <v>4</v>
      </c>
      <c r="I444">
        <v>0</v>
      </c>
      <c r="J444" t="s">
        <v>30</v>
      </c>
      <c r="K444">
        <v>5</v>
      </c>
      <c r="L444">
        <f t="shared" si="218"/>
        <v>2023</v>
      </c>
      <c r="M444" s="27">
        <f t="shared" si="214"/>
        <v>2023.3333333333333</v>
      </c>
      <c r="N444" s="5">
        <v>437.71</v>
      </c>
      <c r="O444" s="5">
        <f t="shared" si="220"/>
        <v>437.71</v>
      </c>
      <c r="P444" s="5">
        <f t="shared" si="221"/>
        <v>7.2951666666666668</v>
      </c>
      <c r="Q444" s="5">
        <f t="shared" si="219"/>
        <v>87.542000000000002</v>
      </c>
      <c r="R444" s="5">
        <f t="shared" si="210"/>
        <v>87.542000000000002</v>
      </c>
      <c r="S444" s="5">
        <f t="shared" si="211"/>
        <v>0</v>
      </c>
      <c r="T444" s="5">
        <f t="shared" si="212"/>
        <v>87.542000000000002</v>
      </c>
      <c r="U444" s="5">
        <f t="shared" si="213"/>
        <v>350.16800000000001</v>
      </c>
      <c r="V444">
        <v>2182</v>
      </c>
    </row>
    <row r="445" spans="2:22" hidden="1" outlineLevel="1">
      <c r="B445">
        <v>2182</v>
      </c>
      <c r="C445">
        <v>5659</v>
      </c>
      <c r="D445" t="s">
        <v>1089</v>
      </c>
      <c r="E445">
        <v>205636</v>
      </c>
      <c r="F445" t="s">
        <v>372</v>
      </c>
      <c r="G445">
        <v>2018</v>
      </c>
      <c r="H445">
        <v>10</v>
      </c>
      <c r="I445">
        <v>0</v>
      </c>
      <c r="J445" t="s">
        <v>30</v>
      </c>
      <c r="K445">
        <v>7</v>
      </c>
      <c r="L445">
        <f t="shared" si="218"/>
        <v>2025</v>
      </c>
      <c r="M445" s="27">
        <f t="shared" si="214"/>
        <v>2025.8333333333333</v>
      </c>
      <c r="N445" s="5">
        <v>110200</v>
      </c>
      <c r="O445" s="5">
        <f t="shared" si="220"/>
        <v>110200</v>
      </c>
      <c r="P445" s="5">
        <f t="shared" si="221"/>
        <v>1311.9047619047619</v>
      </c>
      <c r="Q445" s="5">
        <f t="shared" si="219"/>
        <v>15742.857142857143</v>
      </c>
      <c r="R445" s="5">
        <f t="shared" si="210"/>
        <v>15742.857142857143</v>
      </c>
      <c r="S445" s="5">
        <f t="shared" si="211"/>
        <v>0</v>
      </c>
      <c r="T445" s="5">
        <f t="shared" si="212"/>
        <v>15742.857142857143</v>
      </c>
      <c r="U445" s="5">
        <f t="shared" ref="U445:U454" si="222">+N445-T445</f>
        <v>94457.142857142855</v>
      </c>
      <c r="V445">
        <v>2182</v>
      </c>
    </row>
    <row r="446" spans="2:22" hidden="1" outlineLevel="1">
      <c r="B446" s="1">
        <v>2182</v>
      </c>
      <c r="C446">
        <v>5659</v>
      </c>
      <c r="D446" t="s">
        <v>1080</v>
      </c>
      <c r="E446">
        <v>206275</v>
      </c>
      <c r="F446">
        <v>205636</v>
      </c>
      <c r="G446">
        <v>2018</v>
      </c>
      <c r="H446">
        <v>11</v>
      </c>
      <c r="I446">
        <v>0</v>
      </c>
      <c r="J446" t="s">
        <v>30</v>
      </c>
      <c r="K446">
        <v>5</v>
      </c>
      <c r="L446">
        <f t="shared" si="218"/>
        <v>2023</v>
      </c>
      <c r="M446" s="27">
        <f t="shared" si="214"/>
        <v>2023.9166666666667</v>
      </c>
      <c r="N446" s="5">
        <v>437.72</v>
      </c>
      <c r="O446" s="5">
        <f t="shared" si="220"/>
        <v>437.72</v>
      </c>
      <c r="P446" s="5">
        <f t="shared" si="221"/>
        <v>7.2953333333333346</v>
      </c>
      <c r="Q446" s="5">
        <f t="shared" si="219"/>
        <v>87.544000000000011</v>
      </c>
      <c r="R446" s="5">
        <f t="shared" ref="R446:R454" si="223">+IF(M446&lt;=$O$5,0,IF(L446&gt;$O$4,Q446,(P446*H446)))</f>
        <v>87.544000000000011</v>
      </c>
      <c r="S446" s="5">
        <f t="shared" ref="S446:S454" si="224">+IF(R446=0,N446,IF($O$3-G446&lt;1,0,(($O$3-G446)*Q446)))</f>
        <v>0</v>
      </c>
      <c r="T446" s="5">
        <f t="shared" ref="T446:T454" si="225">+IF(R446=0,S446,S446+R446)</f>
        <v>87.544000000000011</v>
      </c>
      <c r="U446" s="5">
        <f t="shared" si="222"/>
        <v>350.17600000000004</v>
      </c>
      <c r="V446">
        <v>2182</v>
      </c>
    </row>
    <row r="447" spans="2:22" hidden="1" outlineLevel="1">
      <c r="B447" s="1">
        <v>2182</v>
      </c>
      <c r="C447">
        <v>5655</v>
      </c>
      <c r="D447" t="s">
        <v>1080</v>
      </c>
      <c r="E447">
        <v>206274</v>
      </c>
      <c r="F447">
        <v>205799</v>
      </c>
      <c r="G447">
        <v>2018</v>
      </c>
      <c r="H447">
        <v>11</v>
      </c>
      <c r="I447">
        <v>0</v>
      </c>
      <c r="J447" t="s">
        <v>30</v>
      </c>
      <c r="K447">
        <v>5</v>
      </c>
      <c r="L447">
        <f t="shared" si="218"/>
        <v>2023</v>
      </c>
      <c r="M447" s="27">
        <f t="shared" si="214"/>
        <v>2023.9166666666667</v>
      </c>
      <c r="N447" s="5">
        <v>437.72</v>
      </c>
      <c r="O447" s="5">
        <f t="shared" si="220"/>
        <v>437.72</v>
      </c>
      <c r="P447" s="5">
        <f t="shared" si="221"/>
        <v>7.2953333333333346</v>
      </c>
      <c r="Q447" s="5">
        <f t="shared" si="219"/>
        <v>87.544000000000011</v>
      </c>
      <c r="R447" s="5">
        <f t="shared" si="223"/>
        <v>87.544000000000011</v>
      </c>
      <c r="S447" s="5">
        <f t="shared" si="224"/>
        <v>0</v>
      </c>
      <c r="T447" s="5">
        <f t="shared" si="225"/>
        <v>87.544000000000011</v>
      </c>
      <c r="U447" s="5">
        <f t="shared" si="222"/>
        <v>350.17600000000004</v>
      </c>
      <c r="V447">
        <v>2182</v>
      </c>
    </row>
    <row r="448" spans="2:22" hidden="1" outlineLevel="1">
      <c r="B448" s="1">
        <v>2182</v>
      </c>
      <c r="C448">
        <v>5657</v>
      </c>
      <c r="D448" t="s">
        <v>1080</v>
      </c>
      <c r="E448">
        <v>206276</v>
      </c>
      <c r="F448">
        <v>205800</v>
      </c>
      <c r="G448">
        <v>2018</v>
      </c>
      <c r="H448">
        <v>11</v>
      </c>
      <c r="I448">
        <v>0</v>
      </c>
      <c r="J448" t="s">
        <v>30</v>
      </c>
      <c r="K448">
        <v>5</v>
      </c>
      <c r="L448">
        <f t="shared" si="218"/>
        <v>2023</v>
      </c>
      <c r="M448" s="27">
        <f t="shared" si="214"/>
        <v>2023.9166666666667</v>
      </c>
      <c r="N448" s="5">
        <v>437.72</v>
      </c>
      <c r="O448" s="5">
        <f t="shared" si="220"/>
        <v>437.72</v>
      </c>
      <c r="P448" s="5">
        <f t="shared" si="221"/>
        <v>7.2953333333333346</v>
      </c>
      <c r="Q448" s="5">
        <f t="shared" si="219"/>
        <v>87.544000000000011</v>
      </c>
      <c r="R448" s="5">
        <f t="shared" si="223"/>
        <v>87.544000000000011</v>
      </c>
      <c r="S448" s="5">
        <f t="shared" si="224"/>
        <v>0</v>
      </c>
      <c r="T448" s="5">
        <f t="shared" si="225"/>
        <v>87.544000000000011</v>
      </c>
      <c r="U448" s="5">
        <f t="shared" si="222"/>
        <v>350.17600000000004</v>
      </c>
      <c r="V448">
        <v>2182</v>
      </c>
    </row>
    <row r="449" spans="1:22" hidden="1" outlineLevel="1">
      <c r="B449" s="1">
        <v>2182</v>
      </c>
      <c r="C449">
        <v>5656</v>
      </c>
      <c r="D449" t="s">
        <v>1080</v>
      </c>
      <c r="E449">
        <v>206277</v>
      </c>
      <c r="F449">
        <v>205801</v>
      </c>
      <c r="G449">
        <v>2018</v>
      </c>
      <c r="H449">
        <v>11</v>
      </c>
      <c r="I449">
        <v>0</v>
      </c>
      <c r="J449" t="s">
        <v>30</v>
      </c>
      <c r="K449">
        <v>5</v>
      </c>
      <c r="L449">
        <f t="shared" si="218"/>
        <v>2023</v>
      </c>
      <c r="M449" s="27">
        <f t="shared" si="214"/>
        <v>2023.9166666666667</v>
      </c>
      <c r="N449" s="5">
        <v>437.72</v>
      </c>
      <c r="O449" s="5">
        <f t="shared" si="220"/>
        <v>437.72</v>
      </c>
      <c r="P449" s="5">
        <f t="shared" si="221"/>
        <v>7.2953333333333346</v>
      </c>
      <c r="Q449" s="5">
        <f t="shared" si="219"/>
        <v>87.544000000000011</v>
      </c>
      <c r="R449" s="5">
        <f t="shared" si="223"/>
        <v>87.544000000000011</v>
      </c>
      <c r="S449" s="5">
        <f t="shared" si="224"/>
        <v>0</v>
      </c>
      <c r="T449" s="5">
        <f t="shared" si="225"/>
        <v>87.544000000000011</v>
      </c>
      <c r="U449" s="5">
        <f t="shared" si="222"/>
        <v>350.17600000000004</v>
      </c>
      <c r="V449">
        <v>2182</v>
      </c>
    </row>
    <row r="450" spans="1:22" hidden="1" outlineLevel="1">
      <c r="B450" s="1">
        <v>2182</v>
      </c>
      <c r="C450">
        <v>8058</v>
      </c>
      <c r="D450" t="s">
        <v>1092</v>
      </c>
      <c r="E450">
        <v>205802</v>
      </c>
      <c r="F450" t="s">
        <v>372</v>
      </c>
      <c r="G450">
        <v>2018</v>
      </c>
      <c r="H450">
        <v>8</v>
      </c>
      <c r="I450">
        <v>0</v>
      </c>
      <c r="J450" t="s">
        <v>30</v>
      </c>
      <c r="K450">
        <v>7</v>
      </c>
      <c r="L450">
        <f t="shared" si="218"/>
        <v>2025</v>
      </c>
      <c r="M450" s="27">
        <f t="shared" si="214"/>
        <v>2025.6666666666667</v>
      </c>
      <c r="N450" s="5">
        <v>116470.17</v>
      </c>
      <c r="O450" s="5">
        <f t="shared" ref="O450:O457" si="226">N450-N450*I450</f>
        <v>116470.17</v>
      </c>
      <c r="P450" s="5">
        <f t="shared" ref="P450:P457" si="227">O450/K450/12</f>
        <v>1386.549642857143</v>
      </c>
      <c r="Q450" s="5">
        <f t="shared" si="219"/>
        <v>16638.595714285715</v>
      </c>
      <c r="R450" s="5">
        <f t="shared" si="223"/>
        <v>16638.595714285715</v>
      </c>
      <c r="S450" s="5">
        <f t="shared" si="224"/>
        <v>0</v>
      </c>
      <c r="T450" s="5">
        <f t="shared" si="225"/>
        <v>16638.595714285715</v>
      </c>
      <c r="U450" s="5">
        <f t="shared" si="222"/>
        <v>99831.574285714276</v>
      </c>
      <c r="V450">
        <v>2182</v>
      </c>
    </row>
    <row r="451" spans="1:22" hidden="1" outlineLevel="1">
      <c r="B451" s="1">
        <v>2182</v>
      </c>
      <c r="C451">
        <v>8059</v>
      </c>
      <c r="D451" t="s">
        <v>1092</v>
      </c>
      <c r="E451">
        <v>205803</v>
      </c>
      <c r="F451" t="s">
        <v>372</v>
      </c>
      <c r="G451">
        <v>2018</v>
      </c>
      <c r="H451">
        <v>8</v>
      </c>
      <c r="I451">
        <v>0</v>
      </c>
      <c r="J451" t="s">
        <v>30</v>
      </c>
      <c r="K451">
        <v>7</v>
      </c>
      <c r="L451">
        <f t="shared" si="218"/>
        <v>2025</v>
      </c>
      <c r="M451" s="27">
        <f t="shared" si="214"/>
        <v>2025.6666666666667</v>
      </c>
      <c r="N451" s="5">
        <v>116470.17</v>
      </c>
      <c r="O451" s="5">
        <f t="shared" si="226"/>
        <v>116470.17</v>
      </c>
      <c r="P451" s="5">
        <f t="shared" si="227"/>
        <v>1386.549642857143</v>
      </c>
      <c r="Q451" s="5">
        <f t="shared" si="219"/>
        <v>16638.595714285715</v>
      </c>
      <c r="R451" s="5">
        <f t="shared" si="223"/>
        <v>16638.595714285715</v>
      </c>
      <c r="S451" s="5">
        <f t="shared" si="224"/>
        <v>0</v>
      </c>
      <c r="T451" s="5">
        <f t="shared" si="225"/>
        <v>16638.595714285715</v>
      </c>
      <c r="U451" s="5">
        <f t="shared" si="222"/>
        <v>99831.574285714276</v>
      </c>
      <c r="V451">
        <v>2182</v>
      </c>
    </row>
    <row r="452" spans="1:22" hidden="1" outlineLevel="1">
      <c r="B452" s="1">
        <v>2182</v>
      </c>
      <c r="C452">
        <v>8060</v>
      </c>
      <c r="D452" t="s">
        <v>1082</v>
      </c>
      <c r="E452">
        <v>203762</v>
      </c>
      <c r="F452" t="s">
        <v>372</v>
      </c>
      <c r="G452">
        <v>2018</v>
      </c>
      <c r="H452">
        <v>9</v>
      </c>
      <c r="I452">
        <v>0</v>
      </c>
      <c r="J452" t="s">
        <v>30</v>
      </c>
      <c r="K452">
        <v>7</v>
      </c>
      <c r="L452">
        <f>G452+K452</f>
        <v>2025</v>
      </c>
      <c r="M452" s="27">
        <f>+L452+(H452/12)</f>
        <v>2025.75</v>
      </c>
      <c r="N452" s="5">
        <v>118109.67</v>
      </c>
      <c r="O452" s="5">
        <f>N452-N452*I452</f>
        <v>118109.67</v>
      </c>
      <c r="P452" s="5">
        <f>O452/K452/12</f>
        <v>1406.0675000000001</v>
      </c>
      <c r="Q452" s="5">
        <f>P452*12</f>
        <v>16872.810000000001</v>
      </c>
      <c r="R452" s="5">
        <f>+IF(M452&lt;='2180 Other'!$O$5,0,IF(L452&gt;'2180 Other'!$O$4,Q452,(P452*H452)))</f>
        <v>16872.810000000001</v>
      </c>
      <c r="S452" s="5">
        <f>+IF(R452=0,N452,IF('2180 Other'!$O$3-G452&lt;1,0,(('2180 Other'!$O$3-G452)*Q452)))</f>
        <v>0</v>
      </c>
      <c r="T452" s="5">
        <f>+IF(R452=0,S452,S452+R452)</f>
        <v>16872.810000000001</v>
      </c>
      <c r="U452" s="5">
        <f>+N452-T452</f>
        <v>101236.86</v>
      </c>
      <c r="V452">
        <v>2182</v>
      </c>
    </row>
    <row r="453" spans="1:22" hidden="1" outlineLevel="1">
      <c r="B453" s="1">
        <v>2182</v>
      </c>
      <c r="C453">
        <v>8061</v>
      </c>
      <c r="D453" t="s">
        <v>1082</v>
      </c>
      <c r="E453">
        <v>203763</v>
      </c>
      <c r="F453" t="s">
        <v>372</v>
      </c>
      <c r="G453">
        <v>2018</v>
      </c>
      <c r="H453">
        <v>9</v>
      </c>
      <c r="I453">
        <v>0</v>
      </c>
      <c r="J453" t="s">
        <v>30</v>
      </c>
      <c r="K453">
        <v>7</v>
      </c>
      <c r="L453">
        <f>G453+K453</f>
        <v>2025</v>
      </c>
      <c r="M453" s="27">
        <f>+L453+(H453/12)</f>
        <v>2025.75</v>
      </c>
      <c r="N453" s="5">
        <v>118109.67</v>
      </c>
      <c r="O453" s="5">
        <f>N453-N453*I453</f>
        <v>118109.67</v>
      </c>
      <c r="P453" s="5">
        <f>O453/K453/12</f>
        <v>1406.0675000000001</v>
      </c>
      <c r="Q453" s="5">
        <f>P453*12</f>
        <v>16872.810000000001</v>
      </c>
      <c r="R453" s="5">
        <f>+IF(M453&lt;='2180 Other'!$O$5,0,IF(L453&gt;'2180 Other'!$O$4,Q453,(P453*H453)))</f>
        <v>16872.810000000001</v>
      </c>
      <c r="S453" s="5">
        <f>+IF(R453=0,N453,IF('2180 Other'!$O$3-G453&lt;1,0,(('2180 Other'!$O$3-G453)*Q453)))</f>
        <v>0</v>
      </c>
      <c r="T453" s="5">
        <f>+IF(R453=0,S453,S453+R453)</f>
        <v>16872.810000000001</v>
      </c>
      <c r="U453" s="5">
        <f>+N453-T453</f>
        <v>101236.86</v>
      </c>
      <c r="V453">
        <v>2182</v>
      </c>
    </row>
    <row r="454" spans="1:22" hidden="1" outlineLevel="1">
      <c r="B454" s="1">
        <v>2182</v>
      </c>
      <c r="D454" t="s">
        <v>1088</v>
      </c>
      <c r="E454">
        <v>204838</v>
      </c>
      <c r="F454" t="s">
        <v>372</v>
      </c>
      <c r="G454">
        <v>2018</v>
      </c>
      <c r="H454">
        <v>10</v>
      </c>
      <c r="I454">
        <v>0</v>
      </c>
      <c r="J454" t="s">
        <v>30</v>
      </c>
      <c r="K454">
        <v>3</v>
      </c>
      <c r="L454">
        <f t="shared" si="218"/>
        <v>2021</v>
      </c>
      <c r="M454" s="27">
        <f t="shared" si="214"/>
        <v>2021.8333333333333</v>
      </c>
      <c r="N454" s="5">
        <v>24231</v>
      </c>
      <c r="O454" s="5">
        <f t="shared" si="226"/>
        <v>24231</v>
      </c>
      <c r="P454" s="5">
        <f t="shared" si="227"/>
        <v>673.08333333333337</v>
      </c>
      <c r="Q454" s="5">
        <f t="shared" si="219"/>
        <v>8077</v>
      </c>
      <c r="R454" s="5">
        <f t="shared" si="223"/>
        <v>8077</v>
      </c>
      <c r="S454" s="5">
        <f t="shared" si="224"/>
        <v>0</v>
      </c>
      <c r="T454" s="5">
        <f t="shared" si="225"/>
        <v>8077</v>
      </c>
      <c r="U454" s="5">
        <f t="shared" si="222"/>
        <v>16154</v>
      </c>
      <c r="V454">
        <v>2182</v>
      </c>
    </row>
    <row r="455" spans="1:22" hidden="1" outlineLevel="1">
      <c r="B455" s="1">
        <v>2182</v>
      </c>
      <c r="D455" t="s">
        <v>1114</v>
      </c>
      <c r="E455">
        <v>210111</v>
      </c>
      <c r="F455" t="s">
        <v>372</v>
      </c>
      <c r="G455">
        <v>2019</v>
      </c>
      <c r="H455">
        <v>1</v>
      </c>
      <c r="I455">
        <v>0</v>
      </c>
      <c r="J455" t="s">
        <v>30</v>
      </c>
      <c r="K455">
        <v>10</v>
      </c>
      <c r="L455">
        <f>G455+K455</f>
        <v>2029</v>
      </c>
      <c r="M455" s="27">
        <f t="shared" ref="M455:M460" si="228">+L455+(H455/12)</f>
        <v>2029.0833333333333</v>
      </c>
      <c r="N455" s="5">
        <v>160403.81</v>
      </c>
      <c r="O455" s="5">
        <f t="shared" si="226"/>
        <v>160403.81</v>
      </c>
      <c r="P455" s="5">
        <f t="shared" si="227"/>
        <v>1336.6984166666666</v>
      </c>
      <c r="Q455" s="5">
        <f t="shared" ref="Q455:Q460" si="229">P455*12</f>
        <v>16040.380999999999</v>
      </c>
      <c r="R455" s="5">
        <f t="shared" ref="R455:R460" si="230">+IF(M455&lt;=$O$5,0,IF(L455&gt;$O$4,Q455,(P455*H455)))</f>
        <v>16040.380999999999</v>
      </c>
      <c r="S455" s="5">
        <f t="shared" ref="S455:S460" si="231">+IF(R455=0,N455,IF($O$3-G455&lt;1,0,(($O$3-G455)*Q455)))</f>
        <v>0</v>
      </c>
      <c r="T455" s="5">
        <f t="shared" ref="T455:T460" si="232">+IF(R455=0,S455,S455+R455)</f>
        <v>16040.380999999999</v>
      </c>
      <c r="U455" s="5">
        <f t="shared" ref="U455:U460" si="233">+N455-T455</f>
        <v>144363.429</v>
      </c>
    </row>
    <row r="456" spans="1:22" hidden="1" outlineLevel="1">
      <c r="B456" s="1">
        <v>2182</v>
      </c>
      <c r="D456" t="s">
        <v>1115</v>
      </c>
      <c r="E456">
        <v>209797</v>
      </c>
      <c r="F456">
        <v>210111</v>
      </c>
      <c r="G456">
        <v>2019</v>
      </c>
      <c r="H456">
        <v>1</v>
      </c>
      <c r="I456">
        <v>0</v>
      </c>
      <c r="J456" t="s">
        <v>30</v>
      </c>
      <c r="K456">
        <v>10</v>
      </c>
      <c r="L456">
        <f>G456+K456</f>
        <v>2029</v>
      </c>
      <c r="M456" s="27">
        <f t="shared" si="228"/>
        <v>2029.0833333333333</v>
      </c>
      <c r="N456" s="5">
        <v>7210.63</v>
      </c>
      <c r="O456" s="5">
        <f t="shared" si="226"/>
        <v>7210.63</v>
      </c>
      <c r="P456" s="5">
        <f t="shared" si="227"/>
        <v>60.088583333333332</v>
      </c>
      <c r="Q456" s="5">
        <f t="shared" si="229"/>
        <v>721.06299999999999</v>
      </c>
      <c r="R456" s="5">
        <f t="shared" si="230"/>
        <v>721.06299999999999</v>
      </c>
      <c r="S456" s="5">
        <f t="shared" si="231"/>
        <v>0</v>
      </c>
      <c r="T456" s="5">
        <f t="shared" si="232"/>
        <v>721.06299999999999</v>
      </c>
      <c r="U456" s="5">
        <f t="shared" si="233"/>
        <v>6489.567</v>
      </c>
    </row>
    <row r="457" spans="1:22" hidden="1" outlineLevel="1">
      <c r="B457" s="1">
        <v>2182</v>
      </c>
      <c r="D457" t="s">
        <v>936</v>
      </c>
      <c r="E457">
        <v>212764</v>
      </c>
      <c r="F457" t="s">
        <v>372</v>
      </c>
      <c r="G457">
        <v>2019</v>
      </c>
      <c r="H457">
        <v>5</v>
      </c>
      <c r="I457">
        <v>0</v>
      </c>
      <c r="J457" t="s">
        <v>30</v>
      </c>
      <c r="K457">
        <v>7</v>
      </c>
      <c r="L457">
        <f>G457+K457</f>
        <v>2026</v>
      </c>
      <c r="M457" s="27">
        <f t="shared" si="228"/>
        <v>2026.4166666666667</v>
      </c>
      <c r="N457" s="5">
        <v>100030</v>
      </c>
      <c r="O457" s="5">
        <f t="shared" si="226"/>
        <v>100030</v>
      </c>
      <c r="P457" s="5">
        <f t="shared" si="227"/>
        <v>1190.8333333333333</v>
      </c>
      <c r="Q457" s="5">
        <f t="shared" si="229"/>
        <v>14290</v>
      </c>
      <c r="R457" s="5">
        <f t="shared" si="230"/>
        <v>14290</v>
      </c>
      <c r="S457" s="5">
        <f t="shared" si="231"/>
        <v>0</v>
      </c>
      <c r="T457" s="5">
        <f t="shared" si="232"/>
        <v>14290</v>
      </c>
      <c r="U457" s="5">
        <f t="shared" si="233"/>
        <v>85740</v>
      </c>
    </row>
    <row r="458" spans="1:22" hidden="1" outlineLevel="1">
      <c r="A458" t="s">
        <v>39</v>
      </c>
      <c r="B458" t="s">
        <v>419</v>
      </c>
      <c r="C458">
        <v>8169</v>
      </c>
      <c r="D458" t="s">
        <v>474</v>
      </c>
      <c r="G458">
        <v>1999</v>
      </c>
      <c r="H458">
        <v>4</v>
      </c>
      <c r="I458">
        <v>0</v>
      </c>
      <c r="J458" t="s">
        <v>30</v>
      </c>
      <c r="K458">
        <v>7</v>
      </c>
      <c r="L458">
        <f>G458+K458</f>
        <v>2006</v>
      </c>
      <c r="M458" s="27">
        <f t="shared" si="228"/>
        <v>2006.3333333333333</v>
      </c>
      <c r="N458" s="5">
        <f>'2180 Trucks - Orig.'!O228</f>
        <v>11571.856</v>
      </c>
      <c r="O458" s="5">
        <f t="shared" ref="O458:O478" si="234">N458-N458*I458</f>
        <v>11571.856</v>
      </c>
      <c r="P458" s="5">
        <f t="shared" ref="P458:P478" si="235">O458/K458/12</f>
        <v>137.76019047619047</v>
      </c>
      <c r="Q458" s="5">
        <f t="shared" si="229"/>
        <v>1653.1222857142857</v>
      </c>
      <c r="R458" s="5">
        <f t="shared" si="230"/>
        <v>0</v>
      </c>
      <c r="S458" s="5">
        <f t="shared" si="231"/>
        <v>11571.856</v>
      </c>
      <c r="T458" s="5">
        <f t="shared" si="232"/>
        <v>11571.856</v>
      </c>
      <c r="U458" s="5">
        <f t="shared" si="233"/>
        <v>0</v>
      </c>
    </row>
    <row r="459" spans="1:22" hidden="1" outlineLevel="1">
      <c r="D459" t="s">
        <v>1004</v>
      </c>
      <c r="G459">
        <v>2018</v>
      </c>
      <c r="H459">
        <v>12</v>
      </c>
      <c r="I459">
        <v>0</v>
      </c>
      <c r="J459" t="s">
        <v>30</v>
      </c>
      <c r="K459">
        <f>+IF(L458-$O$3&gt;=3,L458-$O$3,3)</f>
        <v>3</v>
      </c>
      <c r="L459">
        <f>G459+K459</f>
        <v>2021</v>
      </c>
      <c r="M459" s="27">
        <f t="shared" si="228"/>
        <v>2022</v>
      </c>
      <c r="N459" s="5">
        <f>'2180 Trucks - Orig.'!N228-'2180 Trucks'!N458</f>
        <v>2892.9639999999999</v>
      </c>
      <c r="O459" s="5">
        <f t="shared" si="234"/>
        <v>2892.9639999999999</v>
      </c>
      <c r="P459" s="5">
        <f t="shared" si="235"/>
        <v>80.360111111111109</v>
      </c>
      <c r="Q459" s="5">
        <f t="shared" si="229"/>
        <v>964.32133333333331</v>
      </c>
      <c r="R459" s="5">
        <f t="shared" si="230"/>
        <v>964.32133333333331</v>
      </c>
      <c r="S459" s="5">
        <f t="shared" si="231"/>
        <v>0</v>
      </c>
      <c r="T459" s="5">
        <f t="shared" si="232"/>
        <v>964.32133333333331</v>
      </c>
      <c r="U459" s="5">
        <f t="shared" si="233"/>
        <v>1928.6426666666666</v>
      </c>
    </row>
    <row r="460" spans="1:22" hidden="1" outlineLevel="1">
      <c r="A460" t="s">
        <v>34</v>
      </c>
      <c r="B460" t="s">
        <v>345</v>
      </c>
      <c r="C460">
        <v>2014</v>
      </c>
      <c r="D460" t="s">
        <v>726</v>
      </c>
      <c r="E460" t="s">
        <v>725</v>
      </c>
      <c r="F460">
        <v>90561</v>
      </c>
      <c r="G460">
        <v>2014</v>
      </c>
      <c r="H460">
        <v>8</v>
      </c>
      <c r="I460">
        <v>0</v>
      </c>
      <c r="J460" t="s">
        <v>30</v>
      </c>
      <c r="K460">
        <v>3</v>
      </c>
      <c r="L460">
        <f t="shared" ref="L460" si="236">G460+K460</f>
        <v>2017</v>
      </c>
      <c r="M460" s="27">
        <f t="shared" si="228"/>
        <v>2017.6666666666667</v>
      </c>
      <c r="N460" s="5">
        <f>27837.41+4073.63</f>
        <v>31911.040000000001</v>
      </c>
      <c r="O460" s="5">
        <f t="shared" si="234"/>
        <v>31911.040000000001</v>
      </c>
      <c r="P460" s="5">
        <f t="shared" si="235"/>
        <v>886.41777777777781</v>
      </c>
      <c r="Q460" s="5">
        <f t="shared" si="229"/>
        <v>10637.013333333334</v>
      </c>
      <c r="R460" s="5">
        <f t="shared" si="230"/>
        <v>0</v>
      </c>
      <c r="S460" s="5">
        <f t="shared" si="231"/>
        <v>31911.040000000001</v>
      </c>
      <c r="T460" s="5">
        <f t="shared" si="232"/>
        <v>31911.040000000001</v>
      </c>
      <c r="U460" s="5">
        <f t="shared" si="233"/>
        <v>0</v>
      </c>
    </row>
    <row r="461" spans="1:22" s="39" customFormat="1" ht="16.5" hidden="1" customHeight="1" outlineLevel="1">
      <c r="A461" s="39" t="s">
        <v>43</v>
      </c>
      <c r="B461" s="39" t="s">
        <v>342</v>
      </c>
      <c r="C461" s="39">
        <v>3595</v>
      </c>
      <c r="D461" s="39" t="s">
        <v>206</v>
      </c>
      <c r="G461" s="39">
        <v>2006</v>
      </c>
      <c r="H461" s="39">
        <v>12</v>
      </c>
      <c r="I461" s="39">
        <v>0</v>
      </c>
      <c r="J461" s="39" t="s">
        <v>30</v>
      </c>
      <c r="K461" s="39">
        <v>7</v>
      </c>
      <c r="L461" s="39">
        <f t="shared" ref="L461:L478" si="237">G461+K461</f>
        <v>2013</v>
      </c>
      <c r="M461" s="40">
        <f t="shared" ref="M461:M478" si="238">+L461+(H461/12)</f>
        <v>2014</v>
      </c>
      <c r="N461" s="41">
        <f>'2180 Trucks - Orig.'!O32</f>
        <v>146842.576</v>
      </c>
      <c r="O461" s="41">
        <f t="shared" si="234"/>
        <v>146842.576</v>
      </c>
      <c r="P461" s="41">
        <f t="shared" si="235"/>
        <v>1748.1259047619048</v>
      </c>
      <c r="Q461" s="41">
        <f t="shared" ref="Q461:Q478" si="239">P461*12</f>
        <v>20977.510857142857</v>
      </c>
      <c r="R461" s="41">
        <f t="shared" ref="R461:R478" si="240">+IF(M461&lt;=$O$5,0,IF(L461&gt;$O$4,Q461,(P461*H461)))</f>
        <v>0</v>
      </c>
      <c r="S461" s="41">
        <f t="shared" ref="S461:S478" si="241">+IF(R461=0,N461,IF($O$3-G461&lt;1,0,(($O$3-G461)*Q461)))</f>
        <v>146842.576</v>
      </c>
      <c r="T461" s="41">
        <f t="shared" ref="T461:T478" si="242">+IF(R461=0,S461,S461+R461)</f>
        <v>146842.576</v>
      </c>
      <c r="U461" s="41">
        <f t="shared" ref="U461:U478" si="243">+N461-T461</f>
        <v>0</v>
      </c>
    </row>
    <row r="462" spans="1:22" s="26" customFormat="1" hidden="1" outlineLevel="1">
      <c r="A462" s="24"/>
      <c r="B462" s="24"/>
      <c r="C462" s="24"/>
      <c r="D462" s="24" t="s">
        <v>971</v>
      </c>
      <c r="E462" s="24"/>
      <c r="F462" s="24"/>
      <c r="G462" s="24">
        <v>2018</v>
      </c>
      <c r="H462" s="24">
        <v>12</v>
      </c>
      <c r="I462" s="24">
        <v>0</v>
      </c>
      <c r="J462" s="24" t="s">
        <v>30</v>
      </c>
      <c r="K462" s="24">
        <f>+IF(L461-$O$3&gt;=3,L461-$O$3,3)</f>
        <v>3</v>
      </c>
      <c r="L462" s="29">
        <f t="shared" si="237"/>
        <v>2021</v>
      </c>
      <c r="M462" s="28">
        <f t="shared" si="238"/>
        <v>2022</v>
      </c>
      <c r="N462" s="25">
        <f>'2180 Trucks - Orig.'!N32-'2180 Trucks'!N461</f>
        <v>36710.644</v>
      </c>
      <c r="O462" s="25">
        <f t="shared" si="234"/>
        <v>36710.644</v>
      </c>
      <c r="P462" s="25">
        <f t="shared" si="235"/>
        <v>1019.7401111111111</v>
      </c>
      <c r="Q462" s="25">
        <f t="shared" si="239"/>
        <v>12236.881333333333</v>
      </c>
      <c r="R462" s="25">
        <f t="shared" si="240"/>
        <v>12236.881333333333</v>
      </c>
      <c r="S462" s="25">
        <f t="shared" si="241"/>
        <v>0</v>
      </c>
      <c r="T462" s="25">
        <f t="shared" si="242"/>
        <v>12236.881333333333</v>
      </c>
      <c r="U462" s="25">
        <f t="shared" si="243"/>
        <v>24473.762666666669</v>
      </c>
    </row>
    <row r="463" spans="1:22" s="39" customFormat="1" hidden="1" outlineLevel="1">
      <c r="A463" s="39" t="s">
        <v>43</v>
      </c>
      <c r="B463" s="39" t="s">
        <v>342</v>
      </c>
      <c r="C463" s="39">
        <v>3580</v>
      </c>
      <c r="D463" s="39" t="s">
        <v>203</v>
      </c>
      <c r="G463" s="39">
        <v>2005</v>
      </c>
      <c r="H463" s="39">
        <v>4</v>
      </c>
      <c r="I463" s="39">
        <v>0</v>
      </c>
      <c r="J463" s="39" t="s">
        <v>30</v>
      </c>
      <c r="K463" s="39">
        <v>7</v>
      </c>
      <c r="L463" s="39">
        <f t="shared" si="237"/>
        <v>2012</v>
      </c>
      <c r="M463" s="40">
        <f t="shared" si="238"/>
        <v>2012.3333333333333</v>
      </c>
      <c r="N463" s="41">
        <f>'2180 Trucks - Orig.'!O208</f>
        <v>135991.24</v>
      </c>
      <c r="O463" s="41">
        <f t="shared" si="234"/>
        <v>135991.24</v>
      </c>
      <c r="P463" s="41">
        <f t="shared" si="235"/>
        <v>1618.9433333333334</v>
      </c>
      <c r="Q463" s="41">
        <f t="shared" si="239"/>
        <v>19427.32</v>
      </c>
      <c r="R463" s="41">
        <f t="shared" si="240"/>
        <v>0</v>
      </c>
      <c r="S463" s="41">
        <f t="shared" si="241"/>
        <v>135991.24</v>
      </c>
      <c r="T463" s="41">
        <f t="shared" si="242"/>
        <v>135991.24</v>
      </c>
      <c r="U463" s="41">
        <f t="shared" si="243"/>
        <v>0</v>
      </c>
    </row>
    <row r="464" spans="1:22" s="26" customFormat="1" hidden="1" outlineLevel="1">
      <c r="A464" s="24"/>
      <c r="B464" s="24"/>
      <c r="C464" s="24"/>
      <c r="D464" s="24" t="s">
        <v>1001</v>
      </c>
      <c r="E464" s="24"/>
      <c r="F464" s="24"/>
      <c r="G464" s="24">
        <v>2018</v>
      </c>
      <c r="H464" s="24">
        <v>12</v>
      </c>
      <c r="I464" s="24">
        <v>0</v>
      </c>
      <c r="J464" s="24" t="s">
        <v>30</v>
      </c>
      <c r="K464" s="24">
        <f>+IF(L463-$O$3&gt;=3,L463-$O$3,3)</f>
        <v>3</v>
      </c>
      <c r="L464" s="29">
        <f t="shared" si="237"/>
        <v>2021</v>
      </c>
      <c r="M464" s="28">
        <f t="shared" si="238"/>
        <v>2022</v>
      </c>
      <c r="N464" s="25">
        <f>'2180 Trucks - Orig.'!N208-'2180 Trucks'!N463</f>
        <v>33997.81</v>
      </c>
      <c r="O464" s="25">
        <f t="shared" si="234"/>
        <v>33997.81</v>
      </c>
      <c r="P464" s="25">
        <f t="shared" si="235"/>
        <v>944.38361111111101</v>
      </c>
      <c r="Q464" s="25">
        <f t="shared" si="239"/>
        <v>11332.603333333333</v>
      </c>
      <c r="R464" s="25">
        <f t="shared" si="240"/>
        <v>11332.603333333333</v>
      </c>
      <c r="S464" s="25">
        <f t="shared" si="241"/>
        <v>0</v>
      </c>
      <c r="T464" s="25">
        <f t="shared" si="242"/>
        <v>11332.603333333333</v>
      </c>
      <c r="U464" s="25">
        <f t="shared" si="243"/>
        <v>22665.206666666665</v>
      </c>
    </row>
    <row r="465" spans="1:21" s="39" customFormat="1" hidden="1" outlineLevel="1">
      <c r="A465" s="39" t="s">
        <v>34</v>
      </c>
      <c r="B465" s="39" t="s">
        <v>341</v>
      </c>
      <c r="C465" s="39">
        <v>1043</v>
      </c>
      <c r="D465" s="39" t="s">
        <v>49</v>
      </c>
      <c r="G465" s="39">
        <v>2005</v>
      </c>
      <c r="H465" s="39">
        <v>12</v>
      </c>
      <c r="I465" s="39">
        <v>0</v>
      </c>
      <c r="J465" s="39" t="s">
        <v>30</v>
      </c>
      <c r="K465" s="39">
        <v>7</v>
      </c>
      <c r="L465" s="39">
        <f t="shared" si="237"/>
        <v>2012</v>
      </c>
      <c r="M465" s="40">
        <f t="shared" si="238"/>
        <v>2013</v>
      </c>
      <c r="N465" s="41">
        <f>'2180 Trucks - Orig.'!O25</f>
        <v>100690.08</v>
      </c>
      <c r="O465" s="41">
        <f t="shared" si="234"/>
        <v>100690.08</v>
      </c>
      <c r="P465" s="41">
        <f t="shared" si="235"/>
        <v>1198.6914285714286</v>
      </c>
      <c r="Q465" s="41">
        <f t="shared" si="239"/>
        <v>14384.297142857144</v>
      </c>
      <c r="R465" s="41">
        <f t="shared" si="240"/>
        <v>0</v>
      </c>
      <c r="S465" s="41">
        <f t="shared" si="241"/>
        <v>100690.08</v>
      </c>
      <c r="T465" s="41">
        <f t="shared" si="242"/>
        <v>100690.08</v>
      </c>
      <c r="U465" s="41">
        <f t="shared" si="243"/>
        <v>0</v>
      </c>
    </row>
    <row r="466" spans="1:21" s="26" customFormat="1" hidden="1" outlineLevel="1">
      <c r="A466" s="24"/>
      <c r="B466" s="24"/>
      <c r="C466" s="24"/>
      <c r="D466" s="24" t="s">
        <v>965</v>
      </c>
      <c r="E466" s="24"/>
      <c r="F466" s="24"/>
      <c r="G466" s="24">
        <v>2018</v>
      </c>
      <c r="H466" s="24">
        <v>12</v>
      </c>
      <c r="I466" s="24">
        <v>0</v>
      </c>
      <c r="J466" s="24" t="s">
        <v>30</v>
      </c>
      <c r="K466" s="24">
        <f>+IF(L465-$O$3&gt;=3,L465-$O$3,3)</f>
        <v>3</v>
      </c>
      <c r="L466" s="24">
        <f t="shared" si="237"/>
        <v>2021</v>
      </c>
      <c r="M466" s="28">
        <f t="shared" si="238"/>
        <v>2022</v>
      </c>
      <c r="N466" s="25">
        <f>'2180 Trucks - Orig.'!N25-'2180 Trucks'!N465</f>
        <v>25172.520000000004</v>
      </c>
      <c r="O466" s="25">
        <f t="shared" si="234"/>
        <v>25172.520000000004</v>
      </c>
      <c r="P466" s="25">
        <f t="shared" si="235"/>
        <v>699.23666666666679</v>
      </c>
      <c r="Q466" s="25">
        <f t="shared" si="239"/>
        <v>8390.840000000002</v>
      </c>
      <c r="R466" s="25">
        <f t="shared" si="240"/>
        <v>8390.840000000002</v>
      </c>
      <c r="S466" s="25">
        <f t="shared" si="241"/>
        <v>0</v>
      </c>
      <c r="T466" s="25">
        <f t="shared" si="242"/>
        <v>8390.840000000002</v>
      </c>
      <c r="U466" s="25">
        <f t="shared" si="243"/>
        <v>16781.68</v>
      </c>
    </row>
    <row r="467" spans="1:21" s="39" customFormat="1" hidden="1" outlineLevel="1">
      <c r="A467" s="39" t="s">
        <v>34</v>
      </c>
      <c r="B467" s="39" t="s">
        <v>341</v>
      </c>
      <c r="C467" s="39">
        <v>1044</v>
      </c>
      <c r="D467" s="39" t="s">
        <v>205</v>
      </c>
      <c r="G467" s="39">
        <v>2006</v>
      </c>
      <c r="H467" s="39">
        <v>2</v>
      </c>
      <c r="I467" s="39">
        <v>0</v>
      </c>
      <c r="J467" s="39" t="s">
        <v>30</v>
      </c>
      <c r="K467" s="39">
        <v>7</v>
      </c>
      <c r="L467" s="39">
        <f t="shared" si="237"/>
        <v>2013</v>
      </c>
      <c r="M467" s="40">
        <f t="shared" si="238"/>
        <v>2013.1666666666667</v>
      </c>
      <c r="N467" s="41">
        <f>'2180 Trucks - Orig.'!O27</f>
        <v>97828.648000000001</v>
      </c>
      <c r="O467" s="41">
        <f t="shared" si="234"/>
        <v>97828.648000000001</v>
      </c>
      <c r="P467" s="41">
        <f t="shared" si="235"/>
        <v>1164.6267619047619</v>
      </c>
      <c r="Q467" s="41">
        <f t="shared" si="239"/>
        <v>13975.521142857142</v>
      </c>
      <c r="R467" s="41">
        <f t="shared" si="240"/>
        <v>0</v>
      </c>
      <c r="S467" s="41">
        <f t="shared" si="241"/>
        <v>97828.648000000001</v>
      </c>
      <c r="T467" s="41">
        <f t="shared" si="242"/>
        <v>97828.648000000001</v>
      </c>
      <c r="U467" s="41">
        <f t="shared" si="243"/>
        <v>0</v>
      </c>
    </row>
    <row r="468" spans="1:21" s="26" customFormat="1" hidden="1" outlineLevel="1">
      <c r="A468" s="24"/>
      <c r="B468" s="24"/>
      <c r="C468" s="24"/>
      <c r="D468" s="24" t="s">
        <v>966</v>
      </c>
      <c r="E468" s="24"/>
      <c r="F468" s="24"/>
      <c r="G468" s="24">
        <v>2018</v>
      </c>
      <c r="H468" s="24">
        <v>12</v>
      </c>
      <c r="I468" s="24">
        <v>0</v>
      </c>
      <c r="J468" s="24" t="s">
        <v>30</v>
      </c>
      <c r="K468" s="24">
        <f>+IF(L467-$O$3&gt;=3,L467-$O$3,3)</f>
        <v>3</v>
      </c>
      <c r="L468" s="24">
        <f t="shared" si="237"/>
        <v>2021</v>
      </c>
      <c r="M468" s="28">
        <f t="shared" si="238"/>
        <v>2022</v>
      </c>
      <c r="N468" s="25">
        <f>'2180 Trucks - Orig.'!N27-'2180 Trucks'!N467</f>
        <v>24457.161999999997</v>
      </c>
      <c r="O468" s="25">
        <f t="shared" si="234"/>
        <v>24457.161999999997</v>
      </c>
      <c r="P468" s="25">
        <f t="shared" si="235"/>
        <v>679.36561111111098</v>
      </c>
      <c r="Q468" s="25">
        <f t="shared" si="239"/>
        <v>8152.3873333333322</v>
      </c>
      <c r="R468" s="25">
        <f t="shared" si="240"/>
        <v>8152.3873333333322</v>
      </c>
      <c r="S468" s="25">
        <f t="shared" si="241"/>
        <v>0</v>
      </c>
      <c r="T468" s="25">
        <f t="shared" si="242"/>
        <v>8152.3873333333322</v>
      </c>
      <c r="U468" s="25">
        <f t="shared" si="243"/>
        <v>16304.774666666664</v>
      </c>
    </row>
    <row r="469" spans="1:21" s="39" customFormat="1" hidden="1" outlineLevel="1">
      <c r="A469" s="39" t="s">
        <v>1149</v>
      </c>
      <c r="B469" s="39" t="s">
        <v>342</v>
      </c>
      <c r="C469" s="39">
        <v>3585</v>
      </c>
      <c r="D469" s="39" t="s">
        <v>771</v>
      </c>
      <c r="G469" s="39">
        <v>2006</v>
      </c>
      <c r="H469" s="39">
        <v>1</v>
      </c>
      <c r="I469" s="39">
        <v>0</v>
      </c>
      <c r="J469" s="39" t="s">
        <v>30</v>
      </c>
      <c r="K469" s="39">
        <v>7</v>
      </c>
      <c r="L469" s="39">
        <f t="shared" si="237"/>
        <v>2013</v>
      </c>
      <c r="M469" s="40">
        <f t="shared" si="238"/>
        <v>2013.0833333333333</v>
      </c>
      <c r="N469" s="41">
        <f>'2180 Trucks - Orig.'!O199</f>
        <v>146338.79999999999</v>
      </c>
      <c r="O469" s="41">
        <f t="shared" si="234"/>
        <v>146338.79999999999</v>
      </c>
      <c r="P469" s="41">
        <f t="shared" si="235"/>
        <v>1742.1285714285714</v>
      </c>
      <c r="Q469" s="41">
        <f t="shared" si="239"/>
        <v>20905.542857142857</v>
      </c>
      <c r="R469" s="41">
        <f t="shared" si="240"/>
        <v>0</v>
      </c>
      <c r="S469" s="41">
        <f t="shared" si="241"/>
        <v>146338.79999999999</v>
      </c>
      <c r="T469" s="41">
        <f t="shared" si="242"/>
        <v>146338.79999999999</v>
      </c>
      <c r="U469" s="41">
        <f t="shared" si="243"/>
        <v>0</v>
      </c>
    </row>
    <row r="470" spans="1:21" s="26" customFormat="1" hidden="1" outlineLevel="1">
      <c r="A470" s="24"/>
      <c r="B470" s="24"/>
      <c r="C470" s="24"/>
      <c r="D470" s="24" t="s">
        <v>997</v>
      </c>
      <c r="E470" s="24"/>
      <c r="F470" s="24"/>
      <c r="G470" s="24">
        <v>2018</v>
      </c>
      <c r="H470" s="24">
        <v>12</v>
      </c>
      <c r="I470" s="24">
        <v>0</v>
      </c>
      <c r="J470" s="24" t="s">
        <v>30</v>
      </c>
      <c r="K470" s="24">
        <f>+IF(L469-$O$3&gt;=3,L469-$O$3,3)</f>
        <v>3</v>
      </c>
      <c r="L470" s="29">
        <f t="shared" si="237"/>
        <v>2021</v>
      </c>
      <c r="M470" s="28">
        <f t="shared" si="238"/>
        <v>2022</v>
      </c>
      <c r="N470" s="25">
        <f>'2180 Trucks - Orig.'!N199-'2180 Trucks'!N469</f>
        <v>36584.700000000012</v>
      </c>
      <c r="O470" s="25">
        <f t="shared" si="234"/>
        <v>36584.700000000012</v>
      </c>
      <c r="P470" s="25">
        <f t="shared" si="235"/>
        <v>1016.2416666666669</v>
      </c>
      <c r="Q470" s="25">
        <f t="shared" si="239"/>
        <v>12194.900000000003</v>
      </c>
      <c r="R470" s="25">
        <f t="shared" si="240"/>
        <v>12194.900000000003</v>
      </c>
      <c r="S470" s="25">
        <f t="shared" si="241"/>
        <v>0</v>
      </c>
      <c r="T470" s="25">
        <f t="shared" si="242"/>
        <v>12194.900000000003</v>
      </c>
      <c r="U470" s="25">
        <f t="shared" si="243"/>
        <v>24389.80000000001</v>
      </c>
    </row>
    <row r="471" spans="1:21" s="39" customFormat="1" hidden="1" outlineLevel="1">
      <c r="A471" s="39" t="s">
        <v>161</v>
      </c>
      <c r="B471" s="39" t="s">
        <v>342</v>
      </c>
      <c r="C471" s="39">
        <v>3588</v>
      </c>
      <c r="D471" s="39" t="s">
        <v>50</v>
      </c>
      <c r="G471" s="39">
        <v>2006</v>
      </c>
      <c r="H471" s="39">
        <v>6</v>
      </c>
      <c r="I471" s="39">
        <v>0</v>
      </c>
      <c r="J471" s="39" t="s">
        <v>30</v>
      </c>
      <c r="K471" s="39">
        <v>7</v>
      </c>
      <c r="L471" s="39">
        <f t="shared" si="237"/>
        <v>2013</v>
      </c>
      <c r="M471" s="40">
        <f t="shared" si="238"/>
        <v>2013.5</v>
      </c>
      <c r="N471" s="41">
        <f>'2180 Trucks - Orig.'!O185</f>
        <v>146842.576</v>
      </c>
      <c r="O471" s="41">
        <f t="shared" si="234"/>
        <v>146842.576</v>
      </c>
      <c r="P471" s="41">
        <f t="shared" si="235"/>
        <v>1748.1259047619048</v>
      </c>
      <c r="Q471" s="41">
        <f t="shared" si="239"/>
        <v>20977.510857142857</v>
      </c>
      <c r="R471" s="41">
        <f t="shared" si="240"/>
        <v>0</v>
      </c>
      <c r="S471" s="41">
        <f t="shared" si="241"/>
        <v>146842.576</v>
      </c>
      <c r="T471" s="41">
        <f t="shared" si="242"/>
        <v>146842.576</v>
      </c>
      <c r="U471" s="41">
        <f t="shared" si="243"/>
        <v>0</v>
      </c>
    </row>
    <row r="472" spans="1:21" s="26" customFormat="1" hidden="1" outlineLevel="1">
      <c r="A472" s="24"/>
      <c r="B472" s="24"/>
      <c r="C472" s="24"/>
      <c r="D472" s="24" t="s">
        <v>995</v>
      </c>
      <c r="E472" s="24"/>
      <c r="F472" s="24"/>
      <c r="G472" s="24">
        <v>2018</v>
      </c>
      <c r="H472" s="24">
        <v>12</v>
      </c>
      <c r="I472" s="24">
        <v>0</v>
      </c>
      <c r="J472" s="24" t="s">
        <v>30</v>
      </c>
      <c r="K472" s="24">
        <f>+IF(L471-$O$3&gt;=3,L471-$O$3,3)</f>
        <v>3</v>
      </c>
      <c r="L472" s="29">
        <f t="shared" si="237"/>
        <v>2021</v>
      </c>
      <c r="M472" s="28">
        <f t="shared" si="238"/>
        <v>2022</v>
      </c>
      <c r="N472" s="25">
        <f>'2180 Trucks - Orig.'!N185-'2180 Trucks'!N471</f>
        <v>36710.644</v>
      </c>
      <c r="O472" s="25">
        <f t="shared" si="234"/>
        <v>36710.644</v>
      </c>
      <c r="P472" s="25">
        <f t="shared" si="235"/>
        <v>1019.7401111111111</v>
      </c>
      <c r="Q472" s="25">
        <f t="shared" si="239"/>
        <v>12236.881333333333</v>
      </c>
      <c r="R472" s="25">
        <f t="shared" si="240"/>
        <v>12236.881333333333</v>
      </c>
      <c r="S472" s="25">
        <f t="shared" si="241"/>
        <v>0</v>
      </c>
      <c r="T472" s="25">
        <f t="shared" si="242"/>
        <v>12236.881333333333</v>
      </c>
      <c r="U472" s="25">
        <f t="shared" si="243"/>
        <v>24473.762666666669</v>
      </c>
    </row>
    <row r="473" spans="1:21" s="39" customFormat="1" hidden="1" outlineLevel="1">
      <c r="A473" s="39" t="s">
        <v>34</v>
      </c>
      <c r="B473" s="39" t="s">
        <v>345</v>
      </c>
      <c r="C473" s="39">
        <v>2028</v>
      </c>
      <c r="D473" s="39" t="s">
        <v>197</v>
      </c>
      <c r="G473" s="39">
        <v>2007</v>
      </c>
      <c r="H473" s="39">
        <v>1</v>
      </c>
      <c r="I473" s="39">
        <v>0</v>
      </c>
      <c r="J473" s="39" t="s">
        <v>30</v>
      </c>
      <c r="K473" s="39">
        <v>7</v>
      </c>
      <c r="L473" s="39">
        <f t="shared" si="237"/>
        <v>2014</v>
      </c>
      <c r="M473" s="40">
        <f t="shared" si="238"/>
        <v>2014.0833333333333</v>
      </c>
      <c r="N473" s="41">
        <f>'2180 Trucks - Orig.'!O35</f>
        <v>170218.78400000001</v>
      </c>
      <c r="O473" s="41">
        <f t="shared" si="234"/>
        <v>170218.78400000001</v>
      </c>
      <c r="P473" s="41">
        <f t="shared" si="235"/>
        <v>2026.4140952380956</v>
      </c>
      <c r="Q473" s="41">
        <f t="shared" si="239"/>
        <v>24316.969142857146</v>
      </c>
      <c r="R473" s="41">
        <f t="shared" si="240"/>
        <v>0</v>
      </c>
      <c r="S473" s="41">
        <f t="shared" si="241"/>
        <v>170218.78400000001</v>
      </c>
      <c r="T473" s="41">
        <f t="shared" si="242"/>
        <v>170218.78400000001</v>
      </c>
      <c r="U473" s="41">
        <f t="shared" si="243"/>
        <v>0</v>
      </c>
    </row>
    <row r="474" spans="1:21" s="26" customFormat="1" hidden="1" outlineLevel="1">
      <c r="A474" s="24"/>
      <c r="B474" s="24"/>
      <c r="C474" s="24"/>
      <c r="D474" s="24" t="s">
        <v>973</v>
      </c>
      <c r="E474" s="24"/>
      <c r="F474" s="24"/>
      <c r="G474" s="24">
        <v>2018</v>
      </c>
      <c r="H474" s="24">
        <v>12</v>
      </c>
      <c r="I474" s="24">
        <v>0</v>
      </c>
      <c r="J474" s="24" t="s">
        <v>30</v>
      </c>
      <c r="K474" s="24">
        <f>+IF(L473-$O$3&gt;=3,L473-$O$3,3)</f>
        <v>3</v>
      </c>
      <c r="L474" s="29">
        <f t="shared" si="237"/>
        <v>2021</v>
      </c>
      <c r="M474" s="28">
        <f t="shared" si="238"/>
        <v>2022</v>
      </c>
      <c r="N474" s="25">
        <f>'2180 Trucks - Orig.'!N35-'2180 Trucks'!N473</f>
        <v>42554.695999999996</v>
      </c>
      <c r="O474" s="25">
        <f t="shared" si="234"/>
        <v>42554.695999999996</v>
      </c>
      <c r="P474" s="25">
        <f t="shared" si="235"/>
        <v>1182.0748888888888</v>
      </c>
      <c r="Q474" s="25">
        <f t="shared" si="239"/>
        <v>14184.898666666666</v>
      </c>
      <c r="R474" s="25">
        <f t="shared" si="240"/>
        <v>14184.898666666666</v>
      </c>
      <c r="S474" s="25">
        <f t="shared" si="241"/>
        <v>0</v>
      </c>
      <c r="T474" s="25">
        <f t="shared" si="242"/>
        <v>14184.898666666666</v>
      </c>
      <c r="U474" s="25">
        <f t="shared" si="243"/>
        <v>28369.797333333328</v>
      </c>
    </row>
    <row r="475" spans="1:21" s="39" customFormat="1" hidden="1" outlineLevel="1">
      <c r="A475" s="39" t="s">
        <v>47</v>
      </c>
      <c r="B475" s="39" t="s">
        <v>343</v>
      </c>
      <c r="C475" s="39">
        <v>4052</v>
      </c>
      <c r="D475" s="39" t="s">
        <v>212</v>
      </c>
      <c r="G475" s="39">
        <v>2006</v>
      </c>
      <c r="H475" s="39">
        <v>12</v>
      </c>
      <c r="I475" s="39">
        <v>0</v>
      </c>
      <c r="J475" s="39" t="s">
        <v>30</v>
      </c>
      <c r="K475" s="39">
        <v>7</v>
      </c>
      <c r="L475" s="44">
        <f t="shared" si="237"/>
        <v>2013</v>
      </c>
      <c r="M475" s="40">
        <f t="shared" si="238"/>
        <v>2014</v>
      </c>
      <c r="N475" s="41">
        <f>'2180 Trucks - Orig.'!O134</f>
        <v>124361.63200000001</v>
      </c>
      <c r="O475" s="41">
        <f t="shared" si="234"/>
        <v>124361.63200000001</v>
      </c>
      <c r="P475" s="41">
        <f t="shared" si="235"/>
        <v>1480.4956190476194</v>
      </c>
      <c r="Q475" s="41">
        <f t="shared" si="239"/>
        <v>17765.947428571431</v>
      </c>
      <c r="R475" s="41">
        <f t="shared" si="240"/>
        <v>0</v>
      </c>
      <c r="S475" s="41">
        <f t="shared" si="241"/>
        <v>124361.63200000001</v>
      </c>
      <c r="T475" s="41">
        <f t="shared" si="242"/>
        <v>124361.63200000001</v>
      </c>
      <c r="U475" s="41">
        <f t="shared" si="243"/>
        <v>0</v>
      </c>
    </row>
    <row r="476" spans="1:21" s="26" customFormat="1" hidden="1" outlineLevel="1">
      <c r="A476" s="24"/>
      <c r="B476" s="24"/>
      <c r="C476" s="24"/>
      <c r="D476" s="24" t="s">
        <v>984</v>
      </c>
      <c r="E476" s="24"/>
      <c r="F476" s="24"/>
      <c r="G476" s="24">
        <v>2018</v>
      </c>
      <c r="H476" s="24">
        <v>12</v>
      </c>
      <c r="I476" s="24">
        <v>0</v>
      </c>
      <c r="J476" s="24" t="s">
        <v>30</v>
      </c>
      <c r="K476" s="24">
        <f>+IF(L475-$O$3&gt;=3,L475-$O$3,3)</f>
        <v>3</v>
      </c>
      <c r="L476" s="29">
        <f t="shared" si="237"/>
        <v>2021</v>
      </c>
      <c r="M476" s="28">
        <f t="shared" si="238"/>
        <v>2022</v>
      </c>
      <c r="N476" s="25">
        <f>'2180 Trucks - Orig.'!N134-'2180 Trucks'!N475</f>
        <v>31090.407999999996</v>
      </c>
      <c r="O476" s="25">
        <f t="shared" si="234"/>
        <v>31090.407999999996</v>
      </c>
      <c r="P476" s="25">
        <f t="shared" si="235"/>
        <v>863.62244444444434</v>
      </c>
      <c r="Q476" s="25">
        <f t="shared" si="239"/>
        <v>10363.469333333333</v>
      </c>
      <c r="R476" s="25">
        <f t="shared" si="240"/>
        <v>10363.469333333333</v>
      </c>
      <c r="S476" s="25">
        <f t="shared" si="241"/>
        <v>0</v>
      </c>
      <c r="T476" s="25">
        <f t="shared" si="242"/>
        <v>10363.469333333333</v>
      </c>
      <c r="U476" s="25">
        <f t="shared" si="243"/>
        <v>20726.938666666661</v>
      </c>
    </row>
    <row r="477" spans="1:21" s="39" customFormat="1" hidden="1" outlineLevel="1">
      <c r="C477" s="39">
        <v>4052</v>
      </c>
      <c r="D477" s="39" t="s">
        <v>742</v>
      </c>
      <c r="E477" s="39">
        <v>113248</v>
      </c>
      <c r="G477" s="39">
        <v>2014</v>
      </c>
      <c r="H477" s="39">
        <v>4</v>
      </c>
      <c r="I477" s="39">
        <v>0</v>
      </c>
      <c r="J477" s="39" t="s">
        <v>30</v>
      </c>
      <c r="K477" s="39">
        <v>5</v>
      </c>
      <c r="L477" s="44">
        <f t="shared" si="237"/>
        <v>2019</v>
      </c>
      <c r="M477" s="40">
        <f t="shared" si="238"/>
        <v>2019.3333333333333</v>
      </c>
      <c r="N477" s="41">
        <f>6778.26/7</f>
        <v>968.32285714285717</v>
      </c>
      <c r="O477" s="41">
        <f t="shared" si="234"/>
        <v>968.32285714285717</v>
      </c>
      <c r="P477" s="41">
        <f t="shared" si="235"/>
        <v>16.138714285714286</v>
      </c>
      <c r="Q477" s="41">
        <f t="shared" si="239"/>
        <v>193.66457142857143</v>
      </c>
      <c r="R477" s="41">
        <f t="shared" si="240"/>
        <v>64.554857142857145</v>
      </c>
      <c r="S477" s="41">
        <f t="shared" si="241"/>
        <v>774.65828571428574</v>
      </c>
      <c r="T477" s="41">
        <f t="shared" si="242"/>
        <v>839.21314285714288</v>
      </c>
      <c r="U477" s="41">
        <f t="shared" si="243"/>
        <v>129.10971428571429</v>
      </c>
    </row>
    <row r="478" spans="1:21" s="39" customFormat="1" hidden="1" outlineLevel="1">
      <c r="B478" s="39" t="s">
        <v>343</v>
      </c>
      <c r="C478" s="39">
        <v>4052</v>
      </c>
      <c r="D478" s="39" t="s">
        <v>729</v>
      </c>
      <c r="E478" s="39">
        <v>118511</v>
      </c>
      <c r="G478" s="39">
        <v>2014</v>
      </c>
      <c r="H478" s="39">
        <v>11</v>
      </c>
      <c r="I478" s="39">
        <v>0</v>
      </c>
      <c r="J478" s="39" t="s">
        <v>30</v>
      </c>
      <c r="K478" s="39">
        <v>3</v>
      </c>
      <c r="L478" s="44">
        <f t="shared" si="237"/>
        <v>2017</v>
      </c>
      <c r="M478" s="40">
        <f t="shared" si="238"/>
        <v>2017.9166666666667</v>
      </c>
      <c r="N478" s="41">
        <v>8921.6</v>
      </c>
      <c r="O478" s="41">
        <f t="shared" si="234"/>
        <v>8921.6</v>
      </c>
      <c r="P478" s="41">
        <f t="shared" si="235"/>
        <v>247.82222222222222</v>
      </c>
      <c r="Q478" s="41">
        <f t="shared" si="239"/>
        <v>2973.8666666666668</v>
      </c>
      <c r="R478" s="41">
        <f t="shared" si="240"/>
        <v>0</v>
      </c>
      <c r="S478" s="41">
        <f t="shared" si="241"/>
        <v>8921.6</v>
      </c>
      <c r="T478" s="41">
        <f t="shared" si="242"/>
        <v>8921.6</v>
      </c>
      <c r="U478" s="41">
        <f t="shared" si="243"/>
        <v>0</v>
      </c>
    </row>
    <row r="479" spans="1:21" hidden="1" outlineLevel="1">
      <c r="A479" t="s">
        <v>47</v>
      </c>
      <c r="B479" t="s">
        <v>343</v>
      </c>
      <c r="C479">
        <v>4056</v>
      </c>
      <c r="D479" t="s">
        <v>213</v>
      </c>
      <c r="G479">
        <v>2007</v>
      </c>
      <c r="H479">
        <v>4</v>
      </c>
      <c r="I479">
        <v>0</v>
      </c>
      <c r="J479" t="s">
        <v>30</v>
      </c>
      <c r="K479">
        <v>7</v>
      </c>
      <c r="L479" s="14">
        <f>G479+K479</f>
        <v>2014</v>
      </c>
      <c r="M479" s="27">
        <f>+L479+(H479/12)</f>
        <v>2014.3333333333333</v>
      </c>
      <c r="N479" s="5">
        <f>'2180 Trucks - Orig.'!O136</f>
        <v>125666.272</v>
      </c>
      <c r="O479" s="5">
        <f>N479-N479*I479</f>
        <v>125666.272</v>
      </c>
      <c r="P479" s="5">
        <f>O479/K479/12</f>
        <v>1496.0270476190474</v>
      </c>
      <c r="Q479" s="5">
        <f>P479*12</f>
        <v>17952.324571428569</v>
      </c>
      <c r="R479" s="5">
        <f>+IF(M479&lt;=$O$5,0,IF(L479&gt;$O$4,Q479,(P479*H479)))</f>
        <v>0</v>
      </c>
      <c r="S479" s="5">
        <f>+IF(R479=0,N479,IF($O$3-G479&lt;1,0,(($O$3-G479)*Q479)))</f>
        <v>125666.272</v>
      </c>
      <c r="T479" s="5">
        <f>+IF(R479=0,S479,S479+R479)</f>
        <v>125666.272</v>
      </c>
      <c r="U479" s="5">
        <f>+N479-T479</f>
        <v>0</v>
      </c>
    </row>
    <row r="480" spans="1:21" s="26" customFormat="1" hidden="1" outlineLevel="1">
      <c r="A480" s="24"/>
      <c r="B480" s="24"/>
      <c r="C480" s="24"/>
      <c r="D480" s="24" t="s">
        <v>985</v>
      </c>
      <c r="E480" s="24"/>
      <c r="F480" s="24"/>
      <c r="G480" s="24">
        <v>2018</v>
      </c>
      <c r="H480" s="24">
        <v>12</v>
      </c>
      <c r="I480" s="24">
        <v>0</v>
      </c>
      <c r="J480" s="24" t="s">
        <v>30</v>
      </c>
      <c r="K480" s="24">
        <f>+IF(L479-$O$3&gt;=3,L479-$O$3,3)</f>
        <v>3</v>
      </c>
      <c r="L480" s="29">
        <f>G480+K480</f>
        <v>2021</v>
      </c>
      <c r="M480" s="28">
        <f>+L480+(H480/12)</f>
        <v>2022</v>
      </c>
      <c r="N480" s="25">
        <f>'2180 Trucks - Orig.'!N136-'2180 Trucks'!N479</f>
        <v>31416.567999999999</v>
      </c>
      <c r="O480" s="25">
        <f>N480-N480*I480</f>
        <v>31416.567999999999</v>
      </c>
      <c r="P480" s="25">
        <f>O480/K480/12</f>
        <v>872.68244444444451</v>
      </c>
      <c r="Q480" s="25">
        <f>P480*12</f>
        <v>10472.189333333334</v>
      </c>
      <c r="R480" s="25">
        <f>+IF(M480&lt;=$O$5,0,IF(L480&gt;$O$4,Q480,(P480*H480)))</f>
        <v>10472.189333333334</v>
      </c>
      <c r="S480" s="25">
        <f>+IF(R480=0,N480,IF($O$3-G480&lt;1,0,(($O$3-G480)*Q480)))</f>
        <v>0</v>
      </c>
      <c r="T480" s="25">
        <f>+IF(R480=0,S480,S480+R480)</f>
        <v>10472.189333333334</v>
      </c>
      <c r="U480" s="25">
        <f>+N480-T480</f>
        <v>20944.378666666664</v>
      </c>
    </row>
    <row r="481" spans="1:21" hidden="1" outlineLevel="1">
      <c r="N481" s="5"/>
      <c r="O481" s="5"/>
      <c r="P481" s="5"/>
      <c r="Q481" s="5"/>
      <c r="R481" s="5"/>
      <c r="S481" s="5"/>
      <c r="T481" s="5"/>
      <c r="U481" s="5"/>
    </row>
    <row r="482" spans="1:21" hidden="1" outlineLevel="1"/>
    <row r="483" spans="1:21" hidden="1" outlineLevel="1"/>
    <row r="484" spans="1:21" hidden="1" outlineLevel="1">
      <c r="A484" s="4" t="s">
        <v>1194</v>
      </c>
    </row>
    <row r="485" spans="1:21" s="39" customFormat="1" hidden="1" outlineLevel="1">
      <c r="A485" s="39" t="s">
        <v>47</v>
      </c>
      <c r="B485" s="39" t="s">
        <v>343</v>
      </c>
      <c r="C485" s="39">
        <v>4063</v>
      </c>
      <c r="D485" s="39" t="s">
        <v>61</v>
      </c>
      <c r="G485" s="39">
        <v>2007</v>
      </c>
      <c r="H485" s="39">
        <v>11</v>
      </c>
      <c r="I485" s="39">
        <v>0</v>
      </c>
      <c r="J485" s="39" t="s">
        <v>30</v>
      </c>
      <c r="K485" s="39">
        <v>7</v>
      </c>
      <c r="L485" s="44">
        <f t="shared" ref="L485:L494" si="244">G485+K485</f>
        <v>2014</v>
      </c>
      <c r="M485" s="40">
        <f t="shared" ref="M485:M494" si="245">+L485+(H485/12)</f>
        <v>2014.9166666666667</v>
      </c>
      <c r="N485" s="41">
        <f>'2180 Trucks - Orig.'!O138</f>
        <v>130586.89599999999</v>
      </c>
      <c r="O485" s="41">
        <f t="shared" ref="O485:O494" si="246">N485-N485*I485</f>
        <v>130586.89599999999</v>
      </c>
      <c r="P485" s="41">
        <f t="shared" ref="P485:P494" si="247">O485/K485/12</f>
        <v>1554.6059047619046</v>
      </c>
      <c r="Q485" s="41">
        <f t="shared" ref="Q485:Q494" si="248">P485*12</f>
        <v>18655.270857142856</v>
      </c>
      <c r="R485" s="41">
        <f t="shared" ref="R485:R494" si="249">+IF(M485&lt;=$O$5,0,IF(L485&gt;$O$4,Q485,(P485*H485)))</f>
        <v>0</v>
      </c>
      <c r="S485" s="41">
        <f t="shared" ref="S485:S494" si="250">+IF(R485=0,N485,IF($O$3-G485&lt;1,0,(($O$3-G485)*Q485)))</f>
        <v>130586.89599999999</v>
      </c>
      <c r="T485" s="41">
        <f t="shared" ref="T485:T494" si="251">+IF(R485=0,S485,S485+R485)</f>
        <v>130586.89599999999</v>
      </c>
      <c r="U485" s="41">
        <f t="shared" ref="U485:U494" si="252">+N485-T485</f>
        <v>0</v>
      </c>
    </row>
    <row r="486" spans="1:21" s="26" customFormat="1" hidden="1" outlineLevel="1">
      <c r="A486" s="24"/>
      <c r="B486" s="24"/>
      <c r="C486" s="24"/>
      <c r="D486" s="24" t="s">
        <v>987</v>
      </c>
      <c r="E486" s="24"/>
      <c r="F486" s="24"/>
      <c r="G486" s="24">
        <v>2018</v>
      </c>
      <c r="H486" s="24">
        <v>12</v>
      </c>
      <c r="I486" s="24">
        <v>0</v>
      </c>
      <c r="J486" s="24" t="s">
        <v>30</v>
      </c>
      <c r="K486" s="24">
        <f>+IF(L485-$O$3&gt;=3,L485-$O$3,3)</f>
        <v>3</v>
      </c>
      <c r="L486" s="29">
        <f t="shared" si="244"/>
        <v>2021</v>
      </c>
      <c r="M486" s="28">
        <f t="shared" si="245"/>
        <v>2022</v>
      </c>
      <c r="N486" s="25">
        <f>'2180 Trucks - Orig.'!N138-'2180 Trucks'!N485</f>
        <v>32646.724000000002</v>
      </c>
      <c r="O486" s="25">
        <f t="shared" si="246"/>
        <v>32646.724000000002</v>
      </c>
      <c r="P486" s="25">
        <f t="shared" si="247"/>
        <v>906.85344444444445</v>
      </c>
      <c r="Q486" s="25">
        <f t="shared" si="248"/>
        <v>10882.241333333333</v>
      </c>
      <c r="R486" s="25">
        <f t="shared" si="249"/>
        <v>10882.241333333333</v>
      </c>
      <c r="S486" s="25">
        <f t="shared" si="250"/>
        <v>0</v>
      </c>
      <c r="T486" s="25">
        <f t="shared" si="251"/>
        <v>10882.241333333333</v>
      </c>
      <c r="U486" s="25">
        <f t="shared" si="252"/>
        <v>21764.48266666667</v>
      </c>
    </row>
    <row r="487" spans="1:21" s="39" customFormat="1" hidden="1" outlineLevel="1">
      <c r="A487" s="39" t="s">
        <v>47</v>
      </c>
      <c r="B487" s="39" t="s">
        <v>343</v>
      </c>
      <c r="C487" s="39">
        <v>4067</v>
      </c>
      <c r="D487" s="39" t="s">
        <v>164</v>
      </c>
      <c r="E487" s="39">
        <v>60862</v>
      </c>
      <c r="G487" s="39">
        <v>2009</v>
      </c>
      <c r="H487" s="39">
        <v>1</v>
      </c>
      <c r="I487" s="39">
        <v>0</v>
      </c>
      <c r="J487" s="39" t="s">
        <v>30</v>
      </c>
      <c r="K487" s="39">
        <v>7</v>
      </c>
      <c r="L487" s="44">
        <f t="shared" si="244"/>
        <v>2016</v>
      </c>
      <c r="M487" s="40">
        <f t="shared" si="245"/>
        <v>2016.0833333333333</v>
      </c>
      <c r="N487" s="41">
        <f>'2180 Trucks - Orig.'!O141</f>
        <v>3116.0240000000003</v>
      </c>
      <c r="O487" s="41">
        <f t="shared" si="246"/>
        <v>3116.0240000000003</v>
      </c>
      <c r="P487" s="41">
        <f t="shared" si="247"/>
        <v>37.095523809523812</v>
      </c>
      <c r="Q487" s="41">
        <f t="shared" si="248"/>
        <v>445.14628571428574</v>
      </c>
      <c r="R487" s="41">
        <f t="shared" si="249"/>
        <v>0</v>
      </c>
      <c r="S487" s="41">
        <f t="shared" si="250"/>
        <v>3116.0240000000003</v>
      </c>
      <c r="T487" s="41">
        <f t="shared" si="251"/>
        <v>3116.0240000000003</v>
      </c>
      <c r="U487" s="41">
        <f t="shared" si="252"/>
        <v>0</v>
      </c>
    </row>
    <row r="488" spans="1:21" s="26" customFormat="1" hidden="1" outlineLevel="1">
      <c r="A488" s="24"/>
      <c r="B488" s="24"/>
      <c r="C488" s="24"/>
      <c r="D488" s="24" t="s">
        <v>989</v>
      </c>
      <c r="E488" s="24"/>
      <c r="F488" s="24"/>
      <c r="G488" s="24">
        <v>2018</v>
      </c>
      <c r="H488" s="24">
        <v>12</v>
      </c>
      <c r="I488" s="24">
        <v>0</v>
      </c>
      <c r="J488" s="24" t="s">
        <v>30</v>
      </c>
      <c r="K488" s="24">
        <f>+IF(L487-$O$3&gt;=3,L487-$O$3,3)</f>
        <v>3</v>
      </c>
      <c r="L488" s="29">
        <f t="shared" si="244"/>
        <v>2021</v>
      </c>
      <c r="M488" s="28">
        <f t="shared" si="245"/>
        <v>2022</v>
      </c>
      <c r="N488" s="25">
        <f>'2180 Trucks - Orig.'!N141-'2180 Trucks'!N487</f>
        <v>779.00599999999986</v>
      </c>
      <c r="O488" s="25">
        <f t="shared" si="246"/>
        <v>779.00599999999986</v>
      </c>
      <c r="P488" s="25">
        <f t="shared" si="247"/>
        <v>21.639055555555554</v>
      </c>
      <c r="Q488" s="25">
        <f t="shared" si="248"/>
        <v>259.66866666666664</v>
      </c>
      <c r="R488" s="25">
        <f t="shared" si="249"/>
        <v>259.66866666666664</v>
      </c>
      <c r="S488" s="25">
        <f t="shared" si="250"/>
        <v>0</v>
      </c>
      <c r="T488" s="25">
        <f t="shared" si="251"/>
        <v>259.66866666666664</v>
      </c>
      <c r="U488" s="25">
        <f t="shared" si="252"/>
        <v>519.33733333333316</v>
      </c>
    </row>
    <row r="489" spans="1:21" s="39" customFormat="1" hidden="1" outlineLevel="1">
      <c r="A489" s="39" t="s">
        <v>47</v>
      </c>
      <c r="B489" s="39" t="s">
        <v>343</v>
      </c>
      <c r="C489" s="39">
        <v>4067</v>
      </c>
      <c r="D489" s="39" t="s">
        <v>422</v>
      </c>
      <c r="G489" s="39">
        <v>2009</v>
      </c>
      <c r="H489" s="39">
        <v>1</v>
      </c>
      <c r="I489" s="39">
        <v>0</v>
      </c>
      <c r="J489" s="39" t="s">
        <v>30</v>
      </c>
      <c r="K489" s="39">
        <v>7</v>
      </c>
      <c r="L489" s="44">
        <f t="shared" si="244"/>
        <v>2016</v>
      </c>
      <c r="M489" s="40">
        <f t="shared" si="245"/>
        <v>2016.0833333333333</v>
      </c>
      <c r="N489" s="41">
        <f>'2180 Trucks - Orig.'!O142</f>
        <v>132389.20000000001</v>
      </c>
      <c r="O489" s="41">
        <f t="shared" si="246"/>
        <v>132389.20000000001</v>
      </c>
      <c r="P489" s="41">
        <f t="shared" si="247"/>
        <v>1576.0619047619048</v>
      </c>
      <c r="Q489" s="41">
        <f t="shared" si="248"/>
        <v>18912.742857142857</v>
      </c>
      <c r="R489" s="41">
        <f t="shared" si="249"/>
        <v>0</v>
      </c>
      <c r="S489" s="41">
        <f t="shared" si="250"/>
        <v>132389.20000000001</v>
      </c>
      <c r="T489" s="41">
        <f t="shared" si="251"/>
        <v>132389.20000000001</v>
      </c>
      <c r="U489" s="41">
        <f t="shared" si="252"/>
        <v>0</v>
      </c>
    </row>
    <row r="490" spans="1:21" s="26" customFormat="1" hidden="1" outlineLevel="1">
      <c r="A490" s="24"/>
      <c r="B490" s="24"/>
      <c r="C490" s="24"/>
      <c r="D490" s="24" t="s">
        <v>988</v>
      </c>
      <c r="E490" s="24"/>
      <c r="F490" s="24"/>
      <c r="G490" s="24">
        <v>2018</v>
      </c>
      <c r="H490" s="24">
        <v>12</v>
      </c>
      <c r="I490" s="24">
        <v>0</v>
      </c>
      <c r="J490" s="24" t="s">
        <v>30</v>
      </c>
      <c r="K490" s="24">
        <f>+IF(L489-$O$3&gt;=3,L489-$O$3,3)</f>
        <v>3</v>
      </c>
      <c r="L490" s="29">
        <f t="shared" si="244"/>
        <v>2021</v>
      </c>
      <c r="M490" s="28">
        <f t="shared" si="245"/>
        <v>2022</v>
      </c>
      <c r="N490" s="25">
        <f>'2180 Trucks - Orig.'!N142-'2180 Trucks'!N489</f>
        <v>33097.299999999988</v>
      </c>
      <c r="O490" s="25">
        <f t="shared" si="246"/>
        <v>33097.299999999988</v>
      </c>
      <c r="P490" s="25">
        <f t="shared" si="247"/>
        <v>919.36944444444407</v>
      </c>
      <c r="Q490" s="25">
        <f t="shared" si="248"/>
        <v>11032.433333333329</v>
      </c>
      <c r="R490" s="25">
        <f t="shared" si="249"/>
        <v>11032.433333333329</v>
      </c>
      <c r="S490" s="25">
        <f t="shared" si="250"/>
        <v>0</v>
      </c>
      <c r="T490" s="25">
        <f t="shared" si="251"/>
        <v>11032.433333333329</v>
      </c>
      <c r="U490" s="25">
        <f t="shared" si="252"/>
        <v>22064.866666666661</v>
      </c>
    </row>
    <row r="491" spans="1:21" s="39" customFormat="1" hidden="1" outlineLevel="1">
      <c r="C491" s="39">
        <v>4067</v>
      </c>
      <c r="D491" s="39" t="s">
        <v>742</v>
      </c>
      <c r="E491" s="39">
        <v>113248</v>
      </c>
      <c r="G491" s="39">
        <v>2014</v>
      </c>
      <c r="H491" s="39">
        <v>4</v>
      </c>
      <c r="I491" s="39">
        <v>0</v>
      </c>
      <c r="J491" s="39" t="s">
        <v>30</v>
      </c>
      <c r="K491" s="39">
        <v>5</v>
      </c>
      <c r="L491" s="44">
        <f t="shared" si="244"/>
        <v>2019</v>
      </c>
      <c r="M491" s="40">
        <f t="shared" si="245"/>
        <v>2019.3333333333333</v>
      </c>
      <c r="N491" s="41">
        <f>6778.26/7</f>
        <v>968.32285714285717</v>
      </c>
      <c r="O491" s="41">
        <f t="shared" si="246"/>
        <v>968.32285714285717</v>
      </c>
      <c r="P491" s="41">
        <f t="shared" si="247"/>
        <v>16.138714285714286</v>
      </c>
      <c r="Q491" s="41">
        <f t="shared" si="248"/>
        <v>193.66457142857143</v>
      </c>
      <c r="R491" s="41">
        <f t="shared" si="249"/>
        <v>64.554857142857145</v>
      </c>
      <c r="S491" s="41">
        <f t="shared" si="250"/>
        <v>774.65828571428574</v>
      </c>
      <c r="T491" s="41">
        <f t="shared" si="251"/>
        <v>839.21314285714288</v>
      </c>
      <c r="U491" s="41">
        <f t="shared" si="252"/>
        <v>129.10971428571429</v>
      </c>
    </row>
    <row r="492" spans="1:21" s="39" customFormat="1" hidden="1" outlineLevel="1">
      <c r="B492" s="39" t="s">
        <v>343</v>
      </c>
      <c r="C492" s="39">
        <v>4067</v>
      </c>
      <c r="D492" s="39" t="s">
        <v>729</v>
      </c>
      <c r="E492" s="39">
        <v>118515</v>
      </c>
      <c r="G492" s="39">
        <v>2014</v>
      </c>
      <c r="H492" s="39">
        <v>12</v>
      </c>
      <c r="I492" s="39">
        <v>0</v>
      </c>
      <c r="J492" s="39" t="s">
        <v>30</v>
      </c>
      <c r="K492" s="39">
        <v>3</v>
      </c>
      <c r="L492" s="44">
        <f t="shared" si="244"/>
        <v>2017</v>
      </c>
      <c r="M492" s="40">
        <f t="shared" si="245"/>
        <v>2018</v>
      </c>
      <c r="N492" s="41">
        <v>8921.6</v>
      </c>
      <c r="O492" s="41">
        <f t="shared" si="246"/>
        <v>8921.6</v>
      </c>
      <c r="P492" s="41">
        <f t="shared" si="247"/>
        <v>247.82222222222222</v>
      </c>
      <c r="Q492" s="41">
        <f t="shared" si="248"/>
        <v>2973.8666666666668</v>
      </c>
      <c r="R492" s="41">
        <f t="shared" si="249"/>
        <v>0</v>
      </c>
      <c r="S492" s="41">
        <f t="shared" si="250"/>
        <v>8921.6</v>
      </c>
      <c r="T492" s="41">
        <f t="shared" si="251"/>
        <v>8921.6</v>
      </c>
      <c r="U492" s="41">
        <f t="shared" si="252"/>
        <v>0</v>
      </c>
    </row>
    <row r="493" spans="1:21" s="39" customFormat="1" hidden="1" outlineLevel="1">
      <c r="C493" s="39">
        <v>4063</v>
      </c>
      <c r="D493" s="39" t="s">
        <v>742</v>
      </c>
      <c r="E493" s="39">
        <v>113248</v>
      </c>
      <c r="G493" s="39">
        <v>2014</v>
      </c>
      <c r="H493" s="39">
        <v>4</v>
      </c>
      <c r="I493" s="39">
        <v>0</v>
      </c>
      <c r="J493" s="39" t="s">
        <v>30</v>
      </c>
      <c r="K493" s="39">
        <v>5</v>
      </c>
      <c r="L493" s="44">
        <f t="shared" si="244"/>
        <v>2019</v>
      </c>
      <c r="M493" s="40">
        <f t="shared" si="245"/>
        <v>2019.3333333333333</v>
      </c>
      <c r="N493" s="41">
        <f>6778.26/7</f>
        <v>968.32285714285717</v>
      </c>
      <c r="O493" s="41">
        <f t="shared" si="246"/>
        <v>968.32285714285717</v>
      </c>
      <c r="P493" s="41">
        <f t="shared" si="247"/>
        <v>16.138714285714286</v>
      </c>
      <c r="Q493" s="41">
        <f t="shared" si="248"/>
        <v>193.66457142857143</v>
      </c>
      <c r="R493" s="41">
        <f t="shared" si="249"/>
        <v>64.554857142857145</v>
      </c>
      <c r="S493" s="41">
        <f t="shared" si="250"/>
        <v>774.65828571428574</v>
      </c>
      <c r="T493" s="41">
        <f t="shared" si="251"/>
        <v>839.21314285714288</v>
      </c>
      <c r="U493" s="41">
        <f t="shared" si="252"/>
        <v>129.10971428571429</v>
      </c>
    </row>
    <row r="494" spans="1:21" s="39" customFormat="1" hidden="1" outlineLevel="1">
      <c r="B494" s="39" t="s">
        <v>343</v>
      </c>
      <c r="C494" s="39">
        <v>4063</v>
      </c>
      <c r="D494" s="39" t="s">
        <v>729</v>
      </c>
      <c r="E494" s="39">
        <v>118517</v>
      </c>
      <c r="G494" s="39">
        <v>2014</v>
      </c>
      <c r="H494" s="39">
        <v>12</v>
      </c>
      <c r="I494" s="39">
        <v>0</v>
      </c>
      <c r="J494" s="39" t="s">
        <v>30</v>
      </c>
      <c r="K494" s="39">
        <v>3</v>
      </c>
      <c r="L494" s="44">
        <f t="shared" si="244"/>
        <v>2017</v>
      </c>
      <c r="M494" s="40">
        <f t="shared" si="245"/>
        <v>2018</v>
      </c>
      <c r="N494" s="41">
        <v>8921.6</v>
      </c>
      <c r="O494" s="41">
        <f t="shared" si="246"/>
        <v>8921.6</v>
      </c>
      <c r="P494" s="41">
        <f t="shared" si="247"/>
        <v>247.82222222222222</v>
      </c>
      <c r="Q494" s="41">
        <f t="shared" si="248"/>
        <v>2973.8666666666668</v>
      </c>
      <c r="R494" s="41">
        <f t="shared" si="249"/>
        <v>0</v>
      </c>
      <c r="S494" s="41">
        <f t="shared" si="250"/>
        <v>8921.6</v>
      </c>
      <c r="T494" s="41">
        <f t="shared" si="251"/>
        <v>8921.6</v>
      </c>
      <c r="U494" s="41">
        <f t="shared" si="252"/>
        <v>0</v>
      </c>
    </row>
    <row r="495" spans="1:21" hidden="1" outlineLevel="1"/>
    <row r="496" spans="1:21" collapsed="1"/>
  </sheetData>
  <mergeCells count="3">
    <mergeCell ref="G9:H9"/>
    <mergeCell ref="G10:H10"/>
    <mergeCell ref="A3:B3"/>
  </mergeCells>
  <phoneticPr fontId="0" type="noConversion"/>
  <pageMargins left="0.7" right="0.7" top="0.75" bottom="0.75" header="0.3" footer="0.3"/>
  <pageSetup scale="47" fitToHeight="7" orientation="landscape" r:id="rId1"/>
  <rowBreaks count="1" manualBreakCount="1">
    <brk id="250" max="2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264"/>
  <sheetViews>
    <sheetView showGridLines="0" tabSelected="1" view="pageBreakPreview" topLeftCell="A4" zoomScale="85" zoomScaleNormal="85" zoomScaleSheetLayoutView="85" workbookViewId="0">
      <selection activeCell="P20" sqref="P20"/>
    </sheetView>
  </sheetViews>
  <sheetFormatPr defaultRowHeight="15"/>
  <cols>
    <col min="1" max="1" width="4.5703125" customWidth="1"/>
    <col min="2" max="2" width="10.5703125" bestFit="1" customWidth="1"/>
    <col min="3" max="3" width="37.140625" customWidth="1"/>
    <col min="4" max="4" width="5.28515625" customWidth="1"/>
    <col min="5" max="5" width="11.85546875" customWidth="1"/>
    <col min="6" max="6" width="4.28515625" customWidth="1"/>
    <col min="7" max="7" width="11.5703125" customWidth="1"/>
    <col min="8" max="8" width="5.42578125" customWidth="1"/>
    <col min="9" max="9" width="9.28515625" customWidth="1"/>
    <col min="10" max="10" width="12.85546875" customWidth="1"/>
    <col min="11" max="11" width="7.5703125" style="45" customWidth="1"/>
    <col min="12" max="12" width="11.5703125" customWidth="1"/>
    <col min="13" max="13" width="11.5703125" style="14" customWidth="1"/>
    <col min="14" max="14" width="14.28515625" style="5" bestFit="1" customWidth="1"/>
    <col min="15" max="18" width="11.5703125" style="5" customWidth="1"/>
    <col min="19" max="20" width="14.42578125" style="5" customWidth="1"/>
    <col min="21" max="21" width="11.5703125" style="5" customWidth="1"/>
  </cols>
  <sheetData>
    <row r="1" spans="1:21">
      <c r="A1" s="50" t="str">
        <f>'2180 Summary'!A1</f>
        <v>Pierce County Refuse</v>
      </c>
      <c r="B1" s="50"/>
      <c r="C1" s="50"/>
      <c r="S1" s="35">
        <f>'2180 Summary'!F6</f>
        <v>43435</v>
      </c>
      <c r="T1" s="5" t="s">
        <v>5</v>
      </c>
    </row>
    <row r="2" spans="1:21">
      <c r="A2" s="50" t="s">
        <v>1147</v>
      </c>
      <c r="B2" s="50"/>
      <c r="C2" s="50"/>
      <c r="O2" s="5">
        <f>+'2180 Trucks'!O2</f>
        <v>3</v>
      </c>
      <c r="P2" s="5" t="s">
        <v>1093</v>
      </c>
      <c r="S2" s="35">
        <f>A3</f>
        <v>43799</v>
      </c>
      <c r="T2" s="5" t="s">
        <v>3</v>
      </c>
    </row>
    <row r="3" spans="1:21">
      <c r="A3" s="64">
        <f>'2180 Summary'!A3</f>
        <v>43799</v>
      </c>
      <c r="B3" s="64"/>
      <c r="C3" s="64"/>
      <c r="O3" s="5">
        <f>+'2180 Trucks'!O3</f>
        <v>2018</v>
      </c>
      <c r="P3" s="5" t="s">
        <v>1095</v>
      </c>
    </row>
    <row r="4" spans="1:21">
      <c r="O4" s="5">
        <f>+'2180 Trucks'!O4</f>
        <v>2019</v>
      </c>
      <c r="P4" s="5" t="s">
        <v>1094</v>
      </c>
    </row>
    <row r="5" spans="1:21">
      <c r="O5" s="5">
        <f>+'2180 Trucks'!O5</f>
        <v>2019.25</v>
      </c>
      <c r="P5" s="5" t="s">
        <v>1040</v>
      </c>
    </row>
    <row r="7" spans="1:21">
      <c r="A7" s="74"/>
      <c r="B7" s="74"/>
      <c r="C7" s="74"/>
      <c r="D7" s="74"/>
      <c r="E7" s="74"/>
      <c r="F7" s="74"/>
      <c r="G7" s="74"/>
      <c r="H7" s="74"/>
      <c r="I7" s="74"/>
      <c r="J7" s="74"/>
      <c r="K7" s="66"/>
      <c r="L7" s="74"/>
      <c r="M7" s="75"/>
      <c r="N7" s="31"/>
      <c r="O7" s="31"/>
      <c r="P7" s="31"/>
      <c r="Q7" s="31"/>
      <c r="R7" s="31"/>
      <c r="S7" s="31"/>
      <c r="T7" s="31"/>
      <c r="U7" s="31"/>
    </row>
    <row r="8" spans="1:21" s="33" customForma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72"/>
      <c r="N8" s="73"/>
      <c r="O8" s="73"/>
      <c r="P8" s="73"/>
      <c r="Q8" s="73"/>
      <c r="R8" s="73"/>
      <c r="S8" s="73" t="s">
        <v>7</v>
      </c>
      <c r="T8" s="73" t="s">
        <v>8</v>
      </c>
      <c r="U8" s="73"/>
    </row>
    <row r="9" spans="1:21" s="33" customFormat="1">
      <c r="A9" s="66"/>
      <c r="B9" s="66"/>
      <c r="C9" s="66"/>
      <c r="D9" s="66"/>
      <c r="E9" s="66"/>
      <c r="F9" s="66"/>
      <c r="G9" s="68" t="s">
        <v>16</v>
      </c>
      <c r="H9" s="68"/>
      <c r="I9" s="66" t="s">
        <v>11</v>
      </c>
      <c r="J9" s="66"/>
      <c r="K9" s="66"/>
      <c r="L9" s="66" t="s">
        <v>9</v>
      </c>
      <c r="M9" s="72" t="s">
        <v>949</v>
      </c>
      <c r="N9" s="73"/>
      <c r="O9" s="73"/>
      <c r="P9" s="73"/>
      <c r="Q9" s="73"/>
      <c r="R9" s="73"/>
      <c r="S9" s="73" t="s">
        <v>19</v>
      </c>
      <c r="T9" s="73" t="s">
        <v>19</v>
      </c>
      <c r="U9" s="73"/>
    </row>
    <row r="10" spans="1:21" s="33" customFormat="1">
      <c r="A10" s="66"/>
      <c r="B10" s="66"/>
      <c r="C10" s="66"/>
      <c r="D10" s="66"/>
      <c r="E10" s="66"/>
      <c r="F10" s="66"/>
      <c r="G10" s="68" t="s">
        <v>23</v>
      </c>
      <c r="H10" s="68"/>
      <c r="I10" s="66" t="s">
        <v>17</v>
      </c>
      <c r="J10" s="66" t="s">
        <v>12</v>
      </c>
      <c r="K10" s="66" t="s">
        <v>13</v>
      </c>
      <c r="L10" s="66" t="s">
        <v>27</v>
      </c>
      <c r="M10" s="72" t="s">
        <v>27</v>
      </c>
      <c r="N10" s="73" t="s">
        <v>18</v>
      </c>
      <c r="O10" s="73" t="s">
        <v>14</v>
      </c>
      <c r="P10" s="73" t="s">
        <v>28</v>
      </c>
      <c r="Q10" s="73" t="s">
        <v>947</v>
      </c>
      <c r="R10" s="73" t="s">
        <v>950</v>
      </c>
      <c r="S10" s="73" t="s">
        <v>14</v>
      </c>
      <c r="T10" s="73" t="s">
        <v>14</v>
      </c>
      <c r="U10" s="73" t="s">
        <v>20</v>
      </c>
    </row>
    <row r="11" spans="1:21" s="33" customFormat="1" ht="18.75" customHeight="1">
      <c r="A11" s="87" t="s">
        <v>21</v>
      </c>
      <c r="B11" s="87" t="s">
        <v>354</v>
      </c>
      <c r="C11" s="87" t="s">
        <v>22</v>
      </c>
      <c r="D11" s="87" t="s">
        <v>336</v>
      </c>
      <c r="E11" s="87" t="s">
        <v>337</v>
      </c>
      <c r="F11" s="69"/>
      <c r="G11" s="87" t="s">
        <v>9</v>
      </c>
      <c r="H11" s="87" t="s">
        <v>10</v>
      </c>
      <c r="I11" s="87" t="s">
        <v>24</v>
      </c>
      <c r="J11" s="87" t="s">
        <v>25</v>
      </c>
      <c r="K11" s="87" t="s">
        <v>26</v>
      </c>
      <c r="L11" s="87" t="s">
        <v>338</v>
      </c>
      <c r="M11" s="88" t="s">
        <v>338</v>
      </c>
      <c r="N11" s="89" t="s">
        <v>15</v>
      </c>
      <c r="O11" s="89" t="s">
        <v>15</v>
      </c>
      <c r="P11" s="89" t="s">
        <v>14</v>
      </c>
      <c r="Q11" s="89" t="s">
        <v>948</v>
      </c>
      <c r="R11" s="89" t="s">
        <v>948</v>
      </c>
      <c r="S11" s="90">
        <f>S1</f>
        <v>43435</v>
      </c>
      <c r="T11" s="90">
        <f>S2</f>
        <v>43799</v>
      </c>
      <c r="U11" s="89" t="s">
        <v>29</v>
      </c>
    </row>
    <row r="12" spans="1:21" ht="19.5" customHeight="1">
      <c r="A12" s="4" t="s">
        <v>449</v>
      </c>
    </row>
    <row r="13" spans="1:21">
      <c r="B13">
        <f>24-4</f>
        <v>20</v>
      </c>
      <c r="C13" t="s">
        <v>383</v>
      </c>
      <c r="E13">
        <v>77554</v>
      </c>
      <c r="G13">
        <v>2010</v>
      </c>
      <c r="H13">
        <v>9</v>
      </c>
      <c r="I13">
        <v>0</v>
      </c>
      <c r="J13" t="s">
        <v>30</v>
      </c>
      <c r="K13" s="45" t="s">
        <v>35</v>
      </c>
      <c r="L13">
        <f t="shared" ref="L13:L39" si="0">G13+K13</f>
        <v>2020</v>
      </c>
      <c r="M13" s="15">
        <f t="shared" ref="M13:M39" si="1">+L13+(H13/12)</f>
        <v>2020.75</v>
      </c>
      <c r="N13" s="5">
        <f>(9050.04/24)*20</f>
        <v>7541.7000000000007</v>
      </c>
      <c r="O13" s="5">
        <f t="shared" ref="O13:O39" si="2">N13-N13*I13</f>
        <v>7541.7000000000007</v>
      </c>
      <c r="P13" s="5">
        <f t="shared" ref="P13:P39" si="3">O13/K13/12</f>
        <v>62.847500000000004</v>
      </c>
      <c r="Q13" s="5">
        <f t="shared" ref="Q13:Q39" si="4">P13*12</f>
        <v>754.17000000000007</v>
      </c>
      <c r="R13" s="5">
        <f t="shared" ref="R13:R39" si="5">+IF(M13&lt;=$O$5,0,IF(L13&gt;$O$4,Q13,(P13*H13)))</f>
        <v>754.17000000000007</v>
      </c>
      <c r="S13" s="5">
        <f t="shared" ref="S13:S39" si="6">+IF(R13=0,N13,IF($O$3-G13&lt;1,0,(($O$3-G13)*Q13)))</f>
        <v>6033.3600000000006</v>
      </c>
      <c r="T13" s="5">
        <f t="shared" ref="T13:T39" si="7">+IF(R13=0,S13,S13+R13)</f>
        <v>6787.5300000000007</v>
      </c>
      <c r="U13" s="5">
        <f t="shared" ref="U13:U39" si="8">+N13-T13</f>
        <v>754.17000000000007</v>
      </c>
    </row>
    <row r="14" spans="1:21">
      <c r="B14">
        <v>20</v>
      </c>
      <c r="C14" t="s">
        <v>611</v>
      </c>
      <c r="E14">
        <v>87413</v>
      </c>
      <c r="G14">
        <v>2011</v>
      </c>
      <c r="H14">
        <v>10</v>
      </c>
      <c r="I14">
        <v>0</v>
      </c>
      <c r="J14" t="s">
        <v>30</v>
      </c>
      <c r="K14" s="45">
        <v>12</v>
      </c>
      <c r="L14">
        <f t="shared" si="0"/>
        <v>2023</v>
      </c>
      <c r="M14" s="15">
        <f t="shared" si="1"/>
        <v>2023.8333333333333</v>
      </c>
      <c r="N14" s="5">
        <v>8700.2800000000007</v>
      </c>
      <c r="O14" s="5">
        <f t="shared" si="2"/>
        <v>8700.2800000000007</v>
      </c>
      <c r="P14" s="5">
        <f t="shared" si="3"/>
        <v>60.418611111111119</v>
      </c>
      <c r="Q14" s="5">
        <f t="shared" si="4"/>
        <v>725.02333333333343</v>
      </c>
      <c r="R14" s="5">
        <f t="shared" si="5"/>
        <v>725.02333333333343</v>
      </c>
      <c r="S14" s="5">
        <f t="shared" si="6"/>
        <v>5075.1633333333339</v>
      </c>
      <c r="T14" s="5">
        <f t="shared" si="7"/>
        <v>5800.1866666666674</v>
      </c>
      <c r="U14" s="5">
        <f t="shared" si="8"/>
        <v>2900.0933333333332</v>
      </c>
    </row>
    <row r="15" spans="1:21">
      <c r="B15">
        <v>4</v>
      </c>
      <c r="C15" t="s">
        <v>609</v>
      </c>
      <c r="E15">
        <v>86469</v>
      </c>
      <c r="G15">
        <v>2011</v>
      </c>
      <c r="H15">
        <v>9</v>
      </c>
      <c r="I15">
        <v>0</v>
      </c>
      <c r="J15" t="s">
        <v>30</v>
      </c>
      <c r="K15" s="45">
        <v>10</v>
      </c>
      <c r="L15">
        <f t="shared" si="0"/>
        <v>2021</v>
      </c>
      <c r="M15" s="15">
        <f t="shared" si="1"/>
        <v>2021.75</v>
      </c>
      <c r="N15" s="5">
        <v>1923.68</v>
      </c>
      <c r="O15" s="5">
        <f t="shared" si="2"/>
        <v>1923.68</v>
      </c>
      <c r="P15" s="5">
        <f t="shared" si="3"/>
        <v>16.030666666666665</v>
      </c>
      <c r="Q15" s="5">
        <f t="shared" si="4"/>
        <v>192.36799999999999</v>
      </c>
      <c r="R15" s="5">
        <f t="shared" si="5"/>
        <v>192.36799999999999</v>
      </c>
      <c r="S15" s="5">
        <f t="shared" si="6"/>
        <v>1346.576</v>
      </c>
      <c r="T15" s="5">
        <f t="shared" si="7"/>
        <v>1538.944</v>
      </c>
      <c r="U15" s="5">
        <f t="shared" si="8"/>
        <v>384.7360000000001</v>
      </c>
    </row>
    <row r="16" spans="1:21">
      <c r="B16">
        <v>16</v>
      </c>
      <c r="C16" t="s">
        <v>609</v>
      </c>
      <c r="E16">
        <v>86470</v>
      </c>
      <c r="G16">
        <v>2011</v>
      </c>
      <c r="H16">
        <v>9</v>
      </c>
      <c r="I16">
        <v>0</v>
      </c>
      <c r="J16" t="s">
        <v>30</v>
      </c>
      <c r="K16" s="45">
        <v>10</v>
      </c>
      <c r="L16">
        <f t="shared" si="0"/>
        <v>2021</v>
      </c>
      <c r="M16" s="15">
        <f t="shared" si="1"/>
        <v>2021.75</v>
      </c>
      <c r="N16" s="5">
        <v>7694.72</v>
      </c>
      <c r="O16" s="5">
        <f t="shared" si="2"/>
        <v>7694.72</v>
      </c>
      <c r="P16" s="5">
        <f t="shared" si="3"/>
        <v>64.12266666666666</v>
      </c>
      <c r="Q16" s="5">
        <f t="shared" si="4"/>
        <v>769.47199999999998</v>
      </c>
      <c r="R16" s="5">
        <f t="shared" si="5"/>
        <v>769.47199999999998</v>
      </c>
      <c r="S16" s="5">
        <f t="shared" si="6"/>
        <v>5386.3040000000001</v>
      </c>
      <c r="T16" s="5">
        <f t="shared" si="7"/>
        <v>6155.7759999999998</v>
      </c>
      <c r="U16" s="5">
        <f t="shared" si="8"/>
        <v>1538.9440000000004</v>
      </c>
    </row>
    <row r="17" spans="2:21">
      <c r="B17">
        <v>6</v>
      </c>
      <c r="C17" t="s">
        <v>1075</v>
      </c>
      <c r="E17">
        <v>206682</v>
      </c>
      <c r="G17">
        <v>2018</v>
      </c>
      <c r="H17">
        <v>11</v>
      </c>
      <c r="I17">
        <v>0</v>
      </c>
      <c r="J17" t="s">
        <v>30</v>
      </c>
      <c r="K17" s="45">
        <v>12</v>
      </c>
      <c r="L17">
        <f t="shared" si="0"/>
        <v>2030</v>
      </c>
      <c r="M17" s="15">
        <f t="shared" si="1"/>
        <v>2030.9166666666667</v>
      </c>
      <c r="N17" s="5">
        <v>3423.27</v>
      </c>
      <c r="O17" s="5">
        <f t="shared" si="2"/>
        <v>3423.27</v>
      </c>
      <c r="P17" s="5">
        <f t="shared" si="3"/>
        <v>23.77270833333333</v>
      </c>
      <c r="Q17" s="5">
        <f t="shared" si="4"/>
        <v>285.27249999999998</v>
      </c>
      <c r="R17" s="5">
        <f t="shared" si="5"/>
        <v>285.27249999999998</v>
      </c>
      <c r="S17" s="5">
        <f t="shared" si="6"/>
        <v>0</v>
      </c>
      <c r="T17" s="5">
        <f t="shared" si="7"/>
        <v>285.27249999999998</v>
      </c>
      <c r="U17" s="5">
        <f t="shared" si="8"/>
        <v>3137.9974999999999</v>
      </c>
    </row>
    <row r="18" spans="2:21">
      <c r="B18">
        <v>6</v>
      </c>
      <c r="C18" t="s">
        <v>1075</v>
      </c>
      <c r="E18">
        <v>206685</v>
      </c>
      <c r="G18">
        <v>2018</v>
      </c>
      <c r="H18">
        <v>11</v>
      </c>
      <c r="I18">
        <v>0</v>
      </c>
      <c r="J18" t="s">
        <v>30</v>
      </c>
      <c r="K18" s="45">
        <v>12</v>
      </c>
      <c r="L18">
        <f t="shared" si="0"/>
        <v>2030</v>
      </c>
      <c r="M18" s="15">
        <f t="shared" si="1"/>
        <v>2030.9166666666667</v>
      </c>
      <c r="N18" s="5">
        <v>3423.27</v>
      </c>
      <c r="O18" s="5">
        <f t="shared" si="2"/>
        <v>3423.27</v>
      </c>
      <c r="P18" s="5">
        <f t="shared" si="3"/>
        <v>23.77270833333333</v>
      </c>
      <c r="Q18" s="5">
        <f t="shared" si="4"/>
        <v>285.27249999999998</v>
      </c>
      <c r="R18" s="5">
        <f t="shared" si="5"/>
        <v>285.27249999999998</v>
      </c>
      <c r="S18" s="5">
        <f t="shared" si="6"/>
        <v>0</v>
      </c>
      <c r="T18" s="5">
        <f t="shared" si="7"/>
        <v>285.27249999999998</v>
      </c>
      <c r="U18" s="5">
        <f t="shared" si="8"/>
        <v>3137.9974999999999</v>
      </c>
    </row>
    <row r="19" spans="2:21">
      <c r="B19">
        <v>894</v>
      </c>
      <c r="C19" t="s">
        <v>498</v>
      </c>
      <c r="E19">
        <v>84454</v>
      </c>
      <c r="G19">
        <v>2011</v>
      </c>
      <c r="H19">
        <v>1</v>
      </c>
      <c r="I19">
        <v>0</v>
      </c>
      <c r="J19" t="s">
        <v>30</v>
      </c>
      <c r="K19" s="45">
        <v>10</v>
      </c>
      <c r="L19">
        <f t="shared" si="0"/>
        <v>2021</v>
      </c>
      <c r="M19" s="15">
        <f t="shared" si="1"/>
        <v>2021.0833333333333</v>
      </c>
      <c r="N19" s="5">
        <v>0</v>
      </c>
      <c r="O19" s="5">
        <f t="shared" si="2"/>
        <v>0</v>
      </c>
      <c r="P19" s="5">
        <f t="shared" si="3"/>
        <v>0</v>
      </c>
      <c r="Q19" s="5">
        <f t="shared" si="4"/>
        <v>0</v>
      </c>
      <c r="R19" s="5">
        <f t="shared" si="5"/>
        <v>0</v>
      </c>
      <c r="S19" s="5">
        <f t="shared" si="6"/>
        <v>0</v>
      </c>
      <c r="T19" s="5">
        <f t="shared" si="7"/>
        <v>0</v>
      </c>
      <c r="U19" s="5">
        <f t="shared" si="8"/>
        <v>0</v>
      </c>
    </row>
    <row r="20" spans="2:21">
      <c r="B20">
        <v>1</v>
      </c>
      <c r="C20" t="s">
        <v>616</v>
      </c>
      <c r="E20">
        <v>87415</v>
      </c>
      <c r="G20">
        <v>2011</v>
      </c>
      <c r="H20">
        <v>10</v>
      </c>
      <c r="I20">
        <v>0</v>
      </c>
      <c r="J20" t="s">
        <v>30</v>
      </c>
      <c r="K20" s="45">
        <v>12</v>
      </c>
      <c r="L20">
        <f t="shared" si="0"/>
        <v>2023</v>
      </c>
      <c r="M20" s="15">
        <f t="shared" si="1"/>
        <v>2023.8333333333333</v>
      </c>
      <c r="N20" s="5">
        <v>435.01</v>
      </c>
      <c r="O20" s="5">
        <f t="shared" si="2"/>
        <v>435.01</v>
      </c>
      <c r="P20" s="5">
        <f t="shared" si="3"/>
        <v>3.0209027777777777</v>
      </c>
      <c r="Q20" s="5">
        <f t="shared" si="4"/>
        <v>36.250833333333333</v>
      </c>
      <c r="R20" s="5">
        <f t="shared" si="5"/>
        <v>36.250833333333333</v>
      </c>
      <c r="S20" s="5">
        <f t="shared" si="6"/>
        <v>253.75583333333333</v>
      </c>
      <c r="T20" s="5">
        <f t="shared" si="7"/>
        <v>290.00666666666666</v>
      </c>
      <c r="U20" s="5">
        <f t="shared" si="8"/>
        <v>145.00333333333333</v>
      </c>
    </row>
    <row r="21" spans="2:21">
      <c r="B21">
        <v>19</v>
      </c>
      <c r="C21" t="s">
        <v>616</v>
      </c>
      <c r="E21">
        <v>87414</v>
      </c>
      <c r="G21">
        <v>2011</v>
      </c>
      <c r="H21">
        <v>10</v>
      </c>
      <c r="I21">
        <v>0</v>
      </c>
      <c r="J21" t="s">
        <v>30</v>
      </c>
      <c r="K21" s="45">
        <v>12</v>
      </c>
      <c r="L21">
        <f t="shared" si="0"/>
        <v>2023</v>
      </c>
      <c r="M21" s="15">
        <f t="shared" si="1"/>
        <v>2023.8333333333333</v>
      </c>
      <c r="N21" s="5">
        <v>8265.27</v>
      </c>
      <c r="O21" s="5">
        <f t="shared" si="2"/>
        <v>8265.27</v>
      </c>
      <c r="P21" s="5">
        <f t="shared" si="3"/>
        <v>57.397708333333334</v>
      </c>
      <c r="Q21" s="5">
        <f t="shared" si="4"/>
        <v>688.77250000000004</v>
      </c>
      <c r="R21" s="5">
        <f t="shared" si="5"/>
        <v>688.77250000000004</v>
      </c>
      <c r="S21" s="5">
        <f t="shared" si="6"/>
        <v>4821.4075000000003</v>
      </c>
      <c r="T21" s="5">
        <f t="shared" si="7"/>
        <v>5510.18</v>
      </c>
      <c r="U21" s="5">
        <f t="shared" si="8"/>
        <v>2755.09</v>
      </c>
    </row>
    <row r="22" spans="2:21">
      <c r="B22" s="17">
        <v>75</v>
      </c>
      <c r="C22" t="s">
        <v>64</v>
      </c>
      <c r="G22">
        <v>2007</v>
      </c>
      <c r="H22">
        <v>2</v>
      </c>
      <c r="I22">
        <v>0</v>
      </c>
      <c r="J22" t="s">
        <v>30</v>
      </c>
      <c r="K22" s="45" t="s">
        <v>35</v>
      </c>
      <c r="L22">
        <f t="shared" si="0"/>
        <v>2017</v>
      </c>
      <c r="M22" s="15">
        <f t="shared" si="1"/>
        <v>2017.1666666666667</v>
      </c>
      <c r="N22" s="5">
        <v>20563.2</v>
      </c>
      <c r="O22" s="5">
        <f t="shared" si="2"/>
        <v>20563.2</v>
      </c>
      <c r="P22" s="5">
        <f t="shared" si="3"/>
        <v>171.36</v>
      </c>
      <c r="Q22" s="5">
        <f t="shared" si="4"/>
        <v>2056.3200000000002</v>
      </c>
      <c r="R22" s="5">
        <f t="shared" si="5"/>
        <v>0</v>
      </c>
      <c r="S22" s="5">
        <f t="shared" si="6"/>
        <v>20563.2</v>
      </c>
      <c r="T22" s="5">
        <f t="shared" si="7"/>
        <v>20563.2</v>
      </c>
      <c r="U22" s="5">
        <f t="shared" si="8"/>
        <v>0</v>
      </c>
    </row>
    <row r="23" spans="2:21">
      <c r="B23" s="17">
        <v>12</v>
      </c>
      <c r="C23" t="s">
        <v>65</v>
      </c>
      <c r="G23">
        <v>2000</v>
      </c>
      <c r="H23">
        <v>9</v>
      </c>
      <c r="I23">
        <v>0</v>
      </c>
      <c r="J23" t="s">
        <v>30</v>
      </c>
      <c r="K23" s="45" t="s">
        <v>35</v>
      </c>
      <c r="L23">
        <f t="shared" si="0"/>
        <v>2010</v>
      </c>
      <c r="M23" s="15">
        <f t="shared" si="1"/>
        <v>2010.75</v>
      </c>
      <c r="N23" s="5">
        <v>3377.46</v>
      </c>
      <c r="O23" s="5">
        <f t="shared" si="2"/>
        <v>3377.46</v>
      </c>
      <c r="P23" s="5">
        <f t="shared" si="3"/>
        <v>28.145499999999998</v>
      </c>
      <c r="Q23" s="5">
        <f t="shared" si="4"/>
        <v>337.74599999999998</v>
      </c>
      <c r="R23" s="5">
        <f t="shared" si="5"/>
        <v>0</v>
      </c>
      <c r="S23" s="5">
        <f t="shared" si="6"/>
        <v>3377.46</v>
      </c>
      <c r="T23" s="5">
        <f t="shared" si="7"/>
        <v>3377.46</v>
      </c>
      <c r="U23" s="5">
        <f t="shared" si="8"/>
        <v>0</v>
      </c>
    </row>
    <row r="24" spans="2:21">
      <c r="B24" s="17">
        <v>19</v>
      </c>
      <c r="C24" t="s">
        <v>65</v>
      </c>
      <c r="G24">
        <v>2003</v>
      </c>
      <c r="H24">
        <v>7</v>
      </c>
      <c r="I24">
        <v>0</v>
      </c>
      <c r="J24" t="s">
        <v>30</v>
      </c>
      <c r="K24" s="45" t="s">
        <v>35</v>
      </c>
      <c r="L24">
        <f t="shared" si="0"/>
        <v>2013</v>
      </c>
      <c r="M24" s="15">
        <f t="shared" si="1"/>
        <v>2013.5833333333333</v>
      </c>
      <c r="N24" s="5">
        <v>5304</v>
      </c>
      <c r="O24" s="5">
        <f t="shared" si="2"/>
        <v>5304</v>
      </c>
      <c r="P24" s="5">
        <f t="shared" si="3"/>
        <v>44.199999999999996</v>
      </c>
      <c r="Q24" s="5">
        <f t="shared" si="4"/>
        <v>530.4</v>
      </c>
      <c r="R24" s="5">
        <f t="shared" si="5"/>
        <v>0</v>
      </c>
      <c r="S24" s="5">
        <f t="shared" si="6"/>
        <v>5304</v>
      </c>
      <c r="T24" s="5">
        <f t="shared" si="7"/>
        <v>5304</v>
      </c>
      <c r="U24" s="5">
        <f t="shared" si="8"/>
        <v>0</v>
      </c>
    </row>
    <row r="25" spans="2:21">
      <c r="B25" s="17">
        <v>19</v>
      </c>
      <c r="C25" t="s">
        <v>65</v>
      </c>
      <c r="G25">
        <v>2003</v>
      </c>
      <c r="H25">
        <v>7</v>
      </c>
      <c r="I25">
        <v>0</v>
      </c>
      <c r="J25" t="s">
        <v>30</v>
      </c>
      <c r="K25" s="45" t="s">
        <v>35</v>
      </c>
      <c r="L25">
        <f t="shared" si="0"/>
        <v>2013</v>
      </c>
      <c r="M25" s="15">
        <f t="shared" si="1"/>
        <v>2013.5833333333333</v>
      </c>
      <c r="N25" s="5">
        <v>5304</v>
      </c>
      <c r="O25" s="5">
        <f t="shared" si="2"/>
        <v>5304</v>
      </c>
      <c r="P25" s="5">
        <f t="shared" si="3"/>
        <v>44.199999999999996</v>
      </c>
      <c r="Q25" s="5">
        <f t="shared" si="4"/>
        <v>530.4</v>
      </c>
      <c r="R25" s="5">
        <f t="shared" si="5"/>
        <v>0</v>
      </c>
      <c r="S25" s="5">
        <f t="shared" si="6"/>
        <v>5304</v>
      </c>
      <c r="T25" s="5">
        <f t="shared" si="7"/>
        <v>5304</v>
      </c>
      <c r="U25" s="5">
        <f t="shared" si="8"/>
        <v>0</v>
      </c>
    </row>
    <row r="26" spans="2:21">
      <c r="B26" s="17">
        <v>20</v>
      </c>
      <c r="C26" t="s">
        <v>65</v>
      </c>
      <c r="G26">
        <v>2006</v>
      </c>
      <c r="H26">
        <v>10</v>
      </c>
      <c r="I26">
        <v>0</v>
      </c>
      <c r="J26" t="s">
        <v>30</v>
      </c>
      <c r="K26" s="45" t="s">
        <v>35</v>
      </c>
      <c r="L26">
        <f t="shared" si="0"/>
        <v>2016</v>
      </c>
      <c r="M26" s="15">
        <f t="shared" si="1"/>
        <v>2016.8333333333333</v>
      </c>
      <c r="N26" s="5">
        <v>5770.75</v>
      </c>
      <c r="O26" s="5">
        <f t="shared" si="2"/>
        <v>5770.75</v>
      </c>
      <c r="P26" s="5">
        <f t="shared" si="3"/>
        <v>48.089583333333337</v>
      </c>
      <c r="Q26" s="5">
        <f t="shared" si="4"/>
        <v>577.07500000000005</v>
      </c>
      <c r="R26" s="5">
        <f t="shared" si="5"/>
        <v>0</v>
      </c>
      <c r="S26" s="5">
        <f t="shared" si="6"/>
        <v>5770.75</v>
      </c>
      <c r="T26" s="5">
        <f t="shared" si="7"/>
        <v>5770.75</v>
      </c>
      <c r="U26" s="5">
        <f t="shared" si="8"/>
        <v>0</v>
      </c>
    </row>
    <row r="27" spans="2:21">
      <c r="B27" s="17">
        <v>24</v>
      </c>
      <c r="C27" t="s">
        <v>65</v>
      </c>
      <c r="G27">
        <v>2005</v>
      </c>
      <c r="H27">
        <v>4</v>
      </c>
      <c r="I27">
        <v>0</v>
      </c>
      <c r="J27" t="s">
        <v>30</v>
      </c>
      <c r="K27" s="45" t="s">
        <v>35</v>
      </c>
      <c r="L27">
        <f t="shared" si="0"/>
        <v>2015</v>
      </c>
      <c r="M27" s="15">
        <f t="shared" si="1"/>
        <v>2015.3333333333333</v>
      </c>
      <c r="N27" s="5">
        <v>6789.12</v>
      </c>
      <c r="O27" s="5">
        <f t="shared" si="2"/>
        <v>6789.12</v>
      </c>
      <c r="P27" s="5">
        <f t="shared" si="3"/>
        <v>56.576000000000001</v>
      </c>
      <c r="Q27" s="5">
        <f t="shared" si="4"/>
        <v>678.91200000000003</v>
      </c>
      <c r="R27" s="5">
        <f t="shared" si="5"/>
        <v>0</v>
      </c>
      <c r="S27" s="5">
        <f t="shared" si="6"/>
        <v>6789.12</v>
      </c>
      <c r="T27" s="5">
        <f t="shared" si="7"/>
        <v>6789.12</v>
      </c>
      <c r="U27" s="5">
        <f t="shared" si="8"/>
        <v>0</v>
      </c>
    </row>
    <row r="28" spans="2:21">
      <c r="B28" s="17">
        <v>28</v>
      </c>
      <c r="C28" t="s">
        <v>65</v>
      </c>
      <c r="G28">
        <v>2001</v>
      </c>
      <c r="H28">
        <v>2</v>
      </c>
      <c r="I28">
        <v>0</v>
      </c>
      <c r="J28" t="s">
        <v>30</v>
      </c>
      <c r="K28" s="45" t="s">
        <v>35</v>
      </c>
      <c r="L28">
        <f t="shared" si="0"/>
        <v>2011</v>
      </c>
      <c r="M28" s="15">
        <f t="shared" si="1"/>
        <v>2011.1666666666667</v>
      </c>
      <c r="N28" s="5">
        <v>8036.4</v>
      </c>
      <c r="O28" s="5">
        <f t="shared" si="2"/>
        <v>8036.4</v>
      </c>
      <c r="P28" s="5">
        <f t="shared" si="3"/>
        <v>66.97</v>
      </c>
      <c r="Q28" s="5">
        <f t="shared" si="4"/>
        <v>803.64</v>
      </c>
      <c r="R28" s="5">
        <f t="shared" si="5"/>
        <v>0</v>
      </c>
      <c r="S28" s="5">
        <f t="shared" si="6"/>
        <v>8036.4</v>
      </c>
      <c r="T28" s="5">
        <f t="shared" si="7"/>
        <v>8036.4</v>
      </c>
      <c r="U28" s="5">
        <f t="shared" si="8"/>
        <v>0</v>
      </c>
    </row>
    <row r="29" spans="2:21">
      <c r="B29" s="17">
        <v>30</v>
      </c>
      <c r="C29" t="s">
        <v>65</v>
      </c>
      <c r="G29">
        <v>2000</v>
      </c>
      <c r="H29">
        <v>9</v>
      </c>
      <c r="I29">
        <v>0</v>
      </c>
      <c r="J29" t="s">
        <v>30</v>
      </c>
      <c r="K29" s="45" t="s">
        <v>35</v>
      </c>
      <c r="L29">
        <f t="shared" si="0"/>
        <v>2010</v>
      </c>
      <c r="M29" s="15">
        <f t="shared" si="1"/>
        <v>2010.75</v>
      </c>
      <c r="N29" s="5">
        <v>8443.65</v>
      </c>
      <c r="O29" s="5">
        <f t="shared" si="2"/>
        <v>8443.65</v>
      </c>
      <c r="P29" s="5">
        <f t="shared" si="3"/>
        <v>70.363749999999996</v>
      </c>
      <c r="Q29" s="5">
        <f t="shared" si="4"/>
        <v>844.36500000000001</v>
      </c>
      <c r="R29" s="5">
        <f t="shared" si="5"/>
        <v>0</v>
      </c>
      <c r="S29" s="5">
        <f t="shared" si="6"/>
        <v>8443.65</v>
      </c>
      <c r="T29" s="5">
        <f t="shared" si="7"/>
        <v>8443.65</v>
      </c>
      <c r="U29" s="5">
        <f t="shared" si="8"/>
        <v>0</v>
      </c>
    </row>
    <row r="30" spans="2:21">
      <c r="B30" s="17">
        <v>37</v>
      </c>
      <c r="C30" t="s">
        <v>65</v>
      </c>
      <c r="G30">
        <v>2003</v>
      </c>
      <c r="H30">
        <v>10</v>
      </c>
      <c r="I30">
        <v>0</v>
      </c>
      <c r="J30" t="s">
        <v>30</v>
      </c>
      <c r="K30" s="45" t="s">
        <v>35</v>
      </c>
      <c r="L30">
        <f t="shared" si="0"/>
        <v>2013</v>
      </c>
      <c r="M30" s="15">
        <f t="shared" si="1"/>
        <v>2013.8333333333333</v>
      </c>
      <c r="N30" s="5">
        <v>10608</v>
      </c>
      <c r="O30" s="5">
        <f t="shared" si="2"/>
        <v>10608</v>
      </c>
      <c r="P30" s="5">
        <f t="shared" si="3"/>
        <v>88.399999999999991</v>
      </c>
      <c r="Q30" s="5">
        <f t="shared" si="4"/>
        <v>1060.8</v>
      </c>
      <c r="R30" s="5">
        <f t="shared" si="5"/>
        <v>0</v>
      </c>
      <c r="S30" s="5">
        <f t="shared" si="6"/>
        <v>10608</v>
      </c>
      <c r="T30" s="5">
        <f t="shared" si="7"/>
        <v>10608</v>
      </c>
      <c r="U30" s="5">
        <f t="shared" si="8"/>
        <v>0</v>
      </c>
    </row>
    <row r="31" spans="2:21">
      <c r="B31" s="17">
        <v>37</v>
      </c>
      <c r="C31" t="s">
        <v>65</v>
      </c>
      <c r="G31">
        <v>2003</v>
      </c>
      <c r="H31">
        <v>11</v>
      </c>
      <c r="I31">
        <v>0</v>
      </c>
      <c r="J31" t="s">
        <v>30</v>
      </c>
      <c r="K31" s="45" t="s">
        <v>35</v>
      </c>
      <c r="L31">
        <f t="shared" si="0"/>
        <v>2013</v>
      </c>
      <c r="M31" s="15">
        <f t="shared" si="1"/>
        <v>2013.9166666666667</v>
      </c>
      <c r="N31" s="5">
        <v>10608</v>
      </c>
      <c r="O31" s="5">
        <f t="shared" si="2"/>
        <v>10608</v>
      </c>
      <c r="P31" s="5">
        <f t="shared" si="3"/>
        <v>88.399999999999991</v>
      </c>
      <c r="Q31" s="5">
        <f t="shared" si="4"/>
        <v>1060.8</v>
      </c>
      <c r="R31" s="5">
        <f t="shared" si="5"/>
        <v>0</v>
      </c>
      <c r="S31" s="5">
        <f t="shared" si="6"/>
        <v>10608</v>
      </c>
      <c r="T31" s="5">
        <f t="shared" si="7"/>
        <v>10608</v>
      </c>
      <c r="U31" s="5">
        <f t="shared" si="8"/>
        <v>0</v>
      </c>
    </row>
    <row r="32" spans="2:21">
      <c r="B32" s="17">
        <v>40</v>
      </c>
      <c r="C32" t="s">
        <v>65</v>
      </c>
      <c r="G32">
        <v>2006</v>
      </c>
      <c r="H32">
        <v>10</v>
      </c>
      <c r="I32">
        <v>0</v>
      </c>
      <c r="J32" t="s">
        <v>30</v>
      </c>
      <c r="K32" s="45" t="s">
        <v>35</v>
      </c>
      <c r="L32">
        <f t="shared" si="0"/>
        <v>2016</v>
      </c>
      <c r="M32" s="15">
        <f t="shared" si="1"/>
        <v>2016.8333333333333</v>
      </c>
      <c r="N32" s="5">
        <v>11541.51</v>
      </c>
      <c r="O32" s="5">
        <f t="shared" si="2"/>
        <v>11541.51</v>
      </c>
      <c r="P32" s="5">
        <f t="shared" si="3"/>
        <v>96.17925000000001</v>
      </c>
      <c r="Q32" s="5">
        <f t="shared" si="4"/>
        <v>1154.1510000000001</v>
      </c>
      <c r="R32" s="5">
        <f t="shared" si="5"/>
        <v>0</v>
      </c>
      <c r="S32" s="5">
        <f t="shared" si="6"/>
        <v>11541.51</v>
      </c>
      <c r="T32" s="5">
        <f t="shared" si="7"/>
        <v>11541.51</v>
      </c>
      <c r="U32" s="5">
        <f t="shared" si="8"/>
        <v>0</v>
      </c>
    </row>
    <row r="33" spans="2:21">
      <c r="B33" s="17">
        <v>47</v>
      </c>
      <c r="C33" t="s">
        <v>65</v>
      </c>
      <c r="G33">
        <v>2004</v>
      </c>
      <c r="H33">
        <v>4</v>
      </c>
      <c r="I33">
        <v>0</v>
      </c>
      <c r="J33" t="s">
        <v>30</v>
      </c>
      <c r="K33" s="45" t="s">
        <v>35</v>
      </c>
      <c r="L33">
        <f t="shared" si="0"/>
        <v>2014</v>
      </c>
      <c r="M33" s="15">
        <f t="shared" si="1"/>
        <v>2014.3333333333333</v>
      </c>
      <c r="N33" s="5">
        <v>13395.46</v>
      </c>
      <c r="O33" s="5">
        <f t="shared" si="2"/>
        <v>13395.46</v>
      </c>
      <c r="P33" s="5">
        <f t="shared" si="3"/>
        <v>111.62883333333332</v>
      </c>
      <c r="Q33" s="5">
        <f t="shared" si="4"/>
        <v>1339.5459999999998</v>
      </c>
      <c r="R33" s="5">
        <f t="shared" si="5"/>
        <v>0</v>
      </c>
      <c r="S33" s="5">
        <f t="shared" si="6"/>
        <v>13395.46</v>
      </c>
      <c r="T33" s="5">
        <f t="shared" si="7"/>
        <v>13395.46</v>
      </c>
      <c r="U33" s="5">
        <f t="shared" si="8"/>
        <v>0</v>
      </c>
    </row>
    <row r="34" spans="2:21">
      <c r="B34">
        <v>52</v>
      </c>
      <c r="C34" t="s">
        <v>65</v>
      </c>
      <c r="G34">
        <v>2004</v>
      </c>
      <c r="H34">
        <v>7</v>
      </c>
      <c r="I34">
        <v>0</v>
      </c>
      <c r="J34" t="s">
        <v>30</v>
      </c>
      <c r="K34" s="45" t="s">
        <v>35</v>
      </c>
      <c r="L34">
        <f t="shared" si="0"/>
        <v>2014</v>
      </c>
      <c r="M34" s="15">
        <f t="shared" si="1"/>
        <v>2014.5833333333333</v>
      </c>
      <c r="N34" s="5">
        <v>14962.18</v>
      </c>
      <c r="O34" s="5">
        <f t="shared" si="2"/>
        <v>14962.18</v>
      </c>
      <c r="P34" s="5">
        <f t="shared" si="3"/>
        <v>124.68483333333334</v>
      </c>
      <c r="Q34" s="5">
        <f t="shared" si="4"/>
        <v>1496.2180000000001</v>
      </c>
      <c r="R34" s="5">
        <f t="shared" si="5"/>
        <v>0</v>
      </c>
      <c r="S34" s="5">
        <f t="shared" si="6"/>
        <v>14962.18</v>
      </c>
      <c r="T34" s="5">
        <f t="shared" si="7"/>
        <v>14962.18</v>
      </c>
      <c r="U34" s="5">
        <f t="shared" si="8"/>
        <v>0</v>
      </c>
    </row>
    <row r="35" spans="2:21">
      <c r="B35">
        <v>56</v>
      </c>
      <c r="C35" t="s">
        <v>65</v>
      </c>
      <c r="G35">
        <v>2004</v>
      </c>
      <c r="H35">
        <v>11</v>
      </c>
      <c r="I35">
        <v>0</v>
      </c>
      <c r="J35" t="s">
        <v>30</v>
      </c>
      <c r="K35" s="45" t="s">
        <v>35</v>
      </c>
      <c r="L35">
        <f t="shared" si="0"/>
        <v>2014</v>
      </c>
      <c r="M35" s="15">
        <f t="shared" si="1"/>
        <v>2014.9166666666667</v>
      </c>
      <c r="N35" s="5">
        <v>15823.87</v>
      </c>
      <c r="O35" s="5">
        <f t="shared" si="2"/>
        <v>15823.87</v>
      </c>
      <c r="P35" s="5">
        <f t="shared" si="3"/>
        <v>131.86558333333335</v>
      </c>
      <c r="Q35" s="5">
        <f t="shared" si="4"/>
        <v>1582.3870000000002</v>
      </c>
      <c r="R35" s="5">
        <f t="shared" si="5"/>
        <v>0</v>
      </c>
      <c r="S35" s="5">
        <f t="shared" si="6"/>
        <v>15823.87</v>
      </c>
      <c r="T35" s="5">
        <f t="shared" si="7"/>
        <v>15823.87</v>
      </c>
      <c r="U35" s="5">
        <f t="shared" si="8"/>
        <v>0</v>
      </c>
    </row>
    <row r="36" spans="2:21">
      <c r="B36">
        <v>56</v>
      </c>
      <c r="C36" t="s">
        <v>65</v>
      </c>
      <c r="G36">
        <v>2005</v>
      </c>
      <c r="H36">
        <v>6</v>
      </c>
      <c r="I36">
        <v>0</v>
      </c>
      <c r="J36" t="s">
        <v>30</v>
      </c>
      <c r="K36" s="45" t="s">
        <v>35</v>
      </c>
      <c r="L36">
        <f t="shared" si="0"/>
        <v>2015</v>
      </c>
      <c r="M36" s="15">
        <f t="shared" si="1"/>
        <v>2015.5</v>
      </c>
      <c r="N36" s="5">
        <v>15823.87</v>
      </c>
      <c r="O36" s="5">
        <f t="shared" si="2"/>
        <v>15823.87</v>
      </c>
      <c r="P36" s="5">
        <f t="shared" si="3"/>
        <v>131.86558333333335</v>
      </c>
      <c r="Q36" s="5">
        <f t="shared" si="4"/>
        <v>1582.3870000000002</v>
      </c>
      <c r="R36" s="5">
        <f t="shared" si="5"/>
        <v>0</v>
      </c>
      <c r="S36" s="5">
        <f t="shared" si="6"/>
        <v>15823.87</v>
      </c>
      <c r="T36" s="5">
        <f t="shared" si="7"/>
        <v>15823.87</v>
      </c>
      <c r="U36" s="5">
        <f t="shared" si="8"/>
        <v>0</v>
      </c>
    </row>
    <row r="37" spans="2:21">
      <c r="B37">
        <v>93</v>
      </c>
      <c r="C37" t="s">
        <v>65</v>
      </c>
      <c r="G37">
        <v>2005</v>
      </c>
      <c r="H37">
        <v>7</v>
      </c>
      <c r="I37">
        <v>0</v>
      </c>
      <c r="J37" t="s">
        <v>30</v>
      </c>
      <c r="K37" s="45" t="s">
        <v>35</v>
      </c>
      <c r="L37">
        <f t="shared" si="0"/>
        <v>2015</v>
      </c>
      <c r="M37" s="15">
        <f t="shared" si="1"/>
        <v>2015.5833333333333</v>
      </c>
      <c r="N37" s="5">
        <v>26442.75</v>
      </c>
      <c r="O37" s="5">
        <f t="shared" si="2"/>
        <v>26442.75</v>
      </c>
      <c r="P37" s="5">
        <f t="shared" si="3"/>
        <v>220.35625000000002</v>
      </c>
      <c r="Q37" s="5">
        <f t="shared" si="4"/>
        <v>2644.2750000000001</v>
      </c>
      <c r="R37" s="5">
        <f t="shared" si="5"/>
        <v>0</v>
      </c>
      <c r="S37" s="5">
        <f t="shared" si="6"/>
        <v>26442.75</v>
      </c>
      <c r="T37" s="5">
        <f t="shared" si="7"/>
        <v>26442.75</v>
      </c>
      <c r="U37" s="5">
        <f t="shared" si="8"/>
        <v>0</v>
      </c>
    </row>
    <row r="38" spans="2:21">
      <c r="B38">
        <v>3</v>
      </c>
      <c r="C38" t="s">
        <v>561</v>
      </c>
      <c r="E38">
        <v>86877</v>
      </c>
      <c r="G38">
        <v>2011</v>
      </c>
      <c r="H38">
        <v>9</v>
      </c>
      <c r="I38">
        <v>0</v>
      </c>
      <c r="J38" t="s">
        <v>30</v>
      </c>
      <c r="K38" s="45">
        <v>10</v>
      </c>
      <c r="L38">
        <f t="shared" si="0"/>
        <v>2021</v>
      </c>
      <c r="M38" s="15">
        <f t="shared" si="1"/>
        <v>2021.75</v>
      </c>
      <c r="N38" s="5">
        <v>1442.76</v>
      </c>
      <c r="O38" s="5">
        <f t="shared" si="2"/>
        <v>1442.76</v>
      </c>
      <c r="P38" s="5">
        <f t="shared" si="3"/>
        <v>12.023000000000001</v>
      </c>
      <c r="Q38" s="5">
        <f t="shared" si="4"/>
        <v>144.27600000000001</v>
      </c>
      <c r="R38" s="5">
        <f t="shared" si="5"/>
        <v>144.27600000000001</v>
      </c>
      <c r="S38" s="5">
        <f t="shared" si="6"/>
        <v>1009.932</v>
      </c>
      <c r="T38" s="5">
        <f t="shared" si="7"/>
        <v>1154.2080000000001</v>
      </c>
      <c r="U38" s="5">
        <f t="shared" si="8"/>
        <v>288.55199999999991</v>
      </c>
    </row>
    <row r="39" spans="2:21">
      <c r="B39">
        <v>17</v>
      </c>
      <c r="C39" t="s">
        <v>561</v>
      </c>
      <c r="E39">
        <v>86878</v>
      </c>
      <c r="G39">
        <v>2011</v>
      </c>
      <c r="H39">
        <v>9</v>
      </c>
      <c r="I39">
        <v>0</v>
      </c>
      <c r="J39" t="s">
        <v>30</v>
      </c>
      <c r="K39" s="45">
        <v>10</v>
      </c>
      <c r="L39">
        <f t="shared" si="0"/>
        <v>2021</v>
      </c>
      <c r="M39" s="15">
        <f t="shared" si="1"/>
        <v>2021.75</v>
      </c>
      <c r="N39" s="5">
        <v>8175.64</v>
      </c>
      <c r="O39" s="5">
        <f t="shared" si="2"/>
        <v>8175.64</v>
      </c>
      <c r="P39" s="5">
        <f t="shared" si="3"/>
        <v>68.13033333333334</v>
      </c>
      <c r="Q39" s="5">
        <f t="shared" si="4"/>
        <v>817.56400000000008</v>
      </c>
      <c r="R39" s="5">
        <f t="shared" si="5"/>
        <v>817.56400000000008</v>
      </c>
      <c r="S39" s="5">
        <f t="shared" si="6"/>
        <v>5722.9480000000003</v>
      </c>
      <c r="T39" s="5">
        <f t="shared" si="7"/>
        <v>6540.5120000000006</v>
      </c>
      <c r="U39" s="5">
        <f t="shared" si="8"/>
        <v>1635.1279999999997</v>
      </c>
    </row>
    <row r="40" spans="2:21">
      <c r="B40">
        <f>24+12</f>
        <v>36</v>
      </c>
      <c r="C40" t="s">
        <v>1131</v>
      </c>
      <c r="E40" t="s">
        <v>1132</v>
      </c>
      <c r="G40">
        <v>2019</v>
      </c>
      <c r="H40">
        <v>10</v>
      </c>
      <c r="I40">
        <v>0</v>
      </c>
      <c r="J40" t="s">
        <v>30</v>
      </c>
      <c r="K40" s="45">
        <v>12</v>
      </c>
      <c r="L40">
        <f t="shared" ref="L40:L64" si="9">G40+K40</f>
        <v>2031</v>
      </c>
      <c r="M40" s="15">
        <f t="shared" ref="M40:M64" si="10">+L40+(H40/12)</f>
        <v>2031.8333333333333</v>
      </c>
      <c r="N40" s="5">
        <f>13142.23+6480.82</f>
        <v>19623.05</v>
      </c>
      <c r="O40" s="5">
        <f t="shared" ref="O40:O64" si="11">N40-N40*I40</f>
        <v>19623.05</v>
      </c>
      <c r="P40" s="5">
        <f t="shared" ref="P40:P64" si="12">O40/K40/12</f>
        <v>136.27118055555556</v>
      </c>
      <c r="Q40" s="5">
        <f t="shared" ref="Q40:Q64" si="13">P40*12</f>
        <v>1635.2541666666666</v>
      </c>
      <c r="R40" s="5">
        <f t="shared" ref="R40:R64" si="14">+IF(M40&lt;=$O$5,0,IF(L40&gt;$O$4,Q40,(P40*H40)))</f>
        <v>1635.2541666666666</v>
      </c>
      <c r="S40" s="5">
        <f t="shared" ref="S40:S64" si="15">+IF(R40=0,N40,IF($O$3-G40&lt;1,0,(($O$3-G40)*Q40)))</f>
        <v>0</v>
      </c>
      <c r="T40" s="5">
        <f t="shared" ref="T40:T64" si="16">+IF(R40=0,S40,S40+R40)</f>
        <v>1635.2541666666666</v>
      </c>
      <c r="U40" s="5">
        <f t="shared" ref="U40:U64" si="17">+N40-T40</f>
        <v>17987.795833333334</v>
      </c>
    </row>
    <row r="41" spans="2:21">
      <c r="B41">
        <v>7</v>
      </c>
      <c r="C41" t="s">
        <v>843</v>
      </c>
      <c r="E41">
        <v>168664</v>
      </c>
      <c r="G41">
        <v>2016</v>
      </c>
      <c r="H41">
        <v>9</v>
      </c>
      <c r="I41">
        <v>0</v>
      </c>
      <c r="J41" t="s">
        <v>30</v>
      </c>
      <c r="K41" s="45">
        <v>12</v>
      </c>
      <c r="L41">
        <f t="shared" si="9"/>
        <v>2028</v>
      </c>
      <c r="M41" s="15">
        <f t="shared" si="10"/>
        <v>2028.75</v>
      </c>
      <c r="N41" s="5">
        <v>3236.8</v>
      </c>
      <c r="O41" s="5">
        <f t="shared" si="11"/>
        <v>3236.8</v>
      </c>
      <c r="P41" s="5">
        <f t="shared" si="12"/>
        <v>22.477777777777778</v>
      </c>
      <c r="Q41" s="5">
        <f t="shared" si="13"/>
        <v>269.73333333333335</v>
      </c>
      <c r="R41" s="5">
        <f t="shared" si="14"/>
        <v>269.73333333333335</v>
      </c>
      <c r="S41" s="5">
        <f t="shared" si="15"/>
        <v>539.4666666666667</v>
      </c>
      <c r="T41" s="5">
        <f t="shared" si="16"/>
        <v>809.2</v>
      </c>
      <c r="U41" s="5">
        <f t="shared" si="17"/>
        <v>2427.6000000000004</v>
      </c>
    </row>
    <row r="42" spans="2:21">
      <c r="B42">
        <v>29</v>
      </c>
      <c r="C42" t="s">
        <v>843</v>
      </c>
      <c r="E42">
        <v>168783</v>
      </c>
      <c r="G42">
        <v>2016</v>
      </c>
      <c r="H42">
        <v>9</v>
      </c>
      <c r="I42">
        <v>0</v>
      </c>
      <c r="J42" t="s">
        <v>30</v>
      </c>
      <c r="K42" s="45">
        <v>12</v>
      </c>
      <c r="L42">
        <f t="shared" si="9"/>
        <v>2028</v>
      </c>
      <c r="M42" s="15">
        <f t="shared" si="10"/>
        <v>2028.75</v>
      </c>
      <c r="N42" s="5">
        <v>13409.6</v>
      </c>
      <c r="O42" s="5">
        <f t="shared" si="11"/>
        <v>13409.6</v>
      </c>
      <c r="P42" s="5">
        <f t="shared" si="12"/>
        <v>93.12222222222222</v>
      </c>
      <c r="Q42" s="5">
        <f t="shared" si="13"/>
        <v>1117.4666666666667</v>
      </c>
      <c r="R42" s="5">
        <f t="shared" si="14"/>
        <v>1117.4666666666667</v>
      </c>
      <c r="S42" s="5">
        <f t="shared" si="15"/>
        <v>2234.9333333333334</v>
      </c>
      <c r="T42" s="5">
        <f t="shared" si="16"/>
        <v>3352.4</v>
      </c>
      <c r="U42" s="5">
        <f t="shared" si="17"/>
        <v>10057.200000000001</v>
      </c>
    </row>
    <row r="43" spans="2:21">
      <c r="B43">
        <v>28</v>
      </c>
      <c r="C43" t="s">
        <v>843</v>
      </c>
      <c r="E43">
        <v>185090</v>
      </c>
      <c r="G43">
        <v>2017</v>
      </c>
      <c r="H43">
        <v>7</v>
      </c>
      <c r="I43">
        <v>0</v>
      </c>
      <c r="J43" t="s">
        <v>30</v>
      </c>
      <c r="K43" s="45">
        <v>7</v>
      </c>
      <c r="L43">
        <f t="shared" si="9"/>
        <v>2024</v>
      </c>
      <c r="M43" s="15">
        <f t="shared" si="10"/>
        <v>2024.5833333333333</v>
      </c>
      <c r="N43" s="5">
        <v>14995.96</v>
      </c>
      <c r="O43" s="5">
        <f t="shared" si="11"/>
        <v>14995.96</v>
      </c>
      <c r="P43" s="5">
        <f t="shared" si="12"/>
        <v>178.52333333333331</v>
      </c>
      <c r="Q43" s="5">
        <f t="shared" si="13"/>
        <v>2142.2799999999997</v>
      </c>
      <c r="R43" s="5">
        <f t="shared" si="14"/>
        <v>2142.2799999999997</v>
      </c>
      <c r="S43" s="5">
        <f t="shared" si="15"/>
        <v>2142.2799999999997</v>
      </c>
      <c r="T43" s="5">
        <f t="shared" si="16"/>
        <v>4284.5599999999995</v>
      </c>
      <c r="U43" s="5">
        <f t="shared" si="17"/>
        <v>10711.4</v>
      </c>
    </row>
    <row r="44" spans="2:21">
      <c r="B44">
        <v>32</v>
      </c>
      <c r="C44" t="s">
        <v>900</v>
      </c>
      <c r="E44">
        <v>189893</v>
      </c>
      <c r="G44">
        <v>2017</v>
      </c>
      <c r="H44">
        <v>11</v>
      </c>
      <c r="I44">
        <v>0</v>
      </c>
      <c r="J44" t="s">
        <v>30</v>
      </c>
      <c r="K44" s="45">
        <v>12</v>
      </c>
      <c r="L44">
        <f t="shared" si="9"/>
        <v>2029</v>
      </c>
      <c r="M44" s="15">
        <f t="shared" si="10"/>
        <v>2029.9166666666667</v>
      </c>
      <c r="N44" s="5">
        <v>16564.64</v>
      </c>
      <c r="O44" s="5">
        <f t="shared" si="11"/>
        <v>16564.64</v>
      </c>
      <c r="P44" s="5">
        <f t="shared" si="12"/>
        <v>115.03222222222222</v>
      </c>
      <c r="Q44" s="5">
        <f t="shared" si="13"/>
        <v>1380.3866666666665</v>
      </c>
      <c r="R44" s="5">
        <f t="shared" si="14"/>
        <v>1380.3866666666665</v>
      </c>
      <c r="S44" s="5">
        <f t="shared" si="15"/>
        <v>1380.3866666666665</v>
      </c>
      <c r="T44" s="5">
        <f t="shared" si="16"/>
        <v>2760.7733333333331</v>
      </c>
      <c r="U44" s="5">
        <f t="shared" si="17"/>
        <v>13803.866666666667</v>
      </c>
    </row>
    <row r="45" spans="2:21">
      <c r="B45">
        <v>32</v>
      </c>
      <c r="C45" t="s">
        <v>232</v>
      </c>
      <c r="G45">
        <v>2006</v>
      </c>
      <c r="H45">
        <v>5</v>
      </c>
      <c r="I45">
        <v>0</v>
      </c>
      <c r="J45" t="s">
        <v>30</v>
      </c>
      <c r="K45" s="45" t="s">
        <v>35</v>
      </c>
      <c r="L45">
        <f t="shared" si="9"/>
        <v>2016</v>
      </c>
      <c r="M45" s="15">
        <f t="shared" si="10"/>
        <v>2016.4166666666667</v>
      </c>
      <c r="N45" s="5">
        <v>10790</v>
      </c>
      <c r="O45" s="5">
        <f t="shared" si="11"/>
        <v>10790</v>
      </c>
      <c r="P45" s="5">
        <f t="shared" si="12"/>
        <v>89.916666666666671</v>
      </c>
      <c r="Q45" s="5">
        <f t="shared" si="13"/>
        <v>1079</v>
      </c>
      <c r="R45" s="5">
        <f t="shared" si="14"/>
        <v>0</v>
      </c>
      <c r="S45" s="5">
        <f t="shared" si="15"/>
        <v>10790</v>
      </c>
      <c r="T45" s="5">
        <f t="shared" si="16"/>
        <v>10790</v>
      </c>
      <c r="U45" s="5">
        <f t="shared" si="17"/>
        <v>0</v>
      </c>
    </row>
    <row r="46" spans="2:21">
      <c r="B46">
        <v>271</v>
      </c>
      <c r="C46" t="s">
        <v>499</v>
      </c>
      <c r="E46">
        <v>84455</v>
      </c>
      <c r="G46">
        <v>2011</v>
      </c>
      <c r="H46">
        <v>1</v>
      </c>
      <c r="I46">
        <v>0</v>
      </c>
      <c r="J46" t="s">
        <v>30</v>
      </c>
      <c r="K46" s="45">
        <v>10</v>
      </c>
      <c r="L46">
        <f t="shared" si="9"/>
        <v>2021</v>
      </c>
      <c r="M46" s="15">
        <f t="shared" si="10"/>
        <v>2021.0833333333333</v>
      </c>
      <c r="N46" s="5">
        <v>0</v>
      </c>
      <c r="O46" s="5">
        <f t="shared" si="11"/>
        <v>0</v>
      </c>
      <c r="P46" s="5">
        <f t="shared" si="12"/>
        <v>0</v>
      </c>
      <c r="Q46" s="5">
        <f t="shared" si="13"/>
        <v>0</v>
      </c>
      <c r="R46" s="5">
        <f t="shared" si="14"/>
        <v>0</v>
      </c>
      <c r="S46" s="5">
        <f t="shared" si="15"/>
        <v>0</v>
      </c>
      <c r="T46" s="5">
        <f t="shared" si="16"/>
        <v>0</v>
      </c>
      <c r="U46" s="5">
        <f t="shared" si="17"/>
        <v>0</v>
      </c>
    </row>
    <row r="47" spans="2:21">
      <c r="B47">
        <v>3</v>
      </c>
      <c r="C47" t="s">
        <v>832</v>
      </c>
      <c r="E47">
        <v>139652</v>
      </c>
      <c r="G47">
        <v>2016</v>
      </c>
      <c r="H47">
        <v>6</v>
      </c>
      <c r="I47">
        <v>0</v>
      </c>
      <c r="J47" t="s">
        <v>30</v>
      </c>
      <c r="K47" s="45">
        <v>7</v>
      </c>
      <c r="L47">
        <f t="shared" si="9"/>
        <v>2023</v>
      </c>
      <c r="M47" s="15">
        <f t="shared" si="10"/>
        <v>2023.5</v>
      </c>
      <c r="N47" s="5">
        <v>1419.84</v>
      </c>
      <c r="O47" s="5">
        <f t="shared" si="11"/>
        <v>1419.84</v>
      </c>
      <c r="P47" s="5">
        <f t="shared" si="12"/>
        <v>16.90285714285714</v>
      </c>
      <c r="Q47" s="5">
        <f t="shared" si="13"/>
        <v>202.83428571428567</v>
      </c>
      <c r="R47" s="5">
        <f t="shared" si="14"/>
        <v>202.83428571428567</v>
      </c>
      <c r="S47" s="5">
        <f t="shared" si="15"/>
        <v>405.66857142857134</v>
      </c>
      <c r="T47" s="5">
        <f t="shared" si="16"/>
        <v>608.50285714285701</v>
      </c>
      <c r="U47" s="5">
        <f t="shared" si="17"/>
        <v>811.33714285714291</v>
      </c>
    </row>
    <row r="48" spans="2:21">
      <c r="B48">
        <v>10</v>
      </c>
      <c r="C48" t="s">
        <v>717</v>
      </c>
      <c r="E48">
        <v>125536</v>
      </c>
      <c r="G48">
        <v>2015</v>
      </c>
      <c r="H48">
        <v>9</v>
      </c>
      <c r="I48">
        <v>0</v>
      </c>
      <c r="J48" t="s">
        <v>30</v>
      </c>
      <c r="K48" s="45">
        <v>12</v>
      </c>
      <c r="L48">
        <f t="shared" si="9"/>
        <v>2027</v>
      </c>
      <c r="M48" s="15">
        <f t="shared" si="10"/>
        <v>2027.75</v>
      </c>
      <c r="N48" s="5">
        <v>4732.8</v>
      </c>
      <c r="O48" s="5">
        <f t="shared" si="11"/>
        <v>4732.8</v>
      </c>
      <c r="P48" s="5">
        <f t="shared" si="12"/>
        <v>32.866666666666667</v>
      </c>
      <c r="Q48" s="5">
        <f t="shared" si="13"/>
        <v>394.4</v>
      </c>
      <c r="R48" s="5">
        <f t="shared" si="14"/>
        <v>394.4</v>
      </c>
      <c r="S48" s="5">
        <f t="shared" si="15"/>
        <v>1183.1999999999998</v>
      </c>
      <c r="T48" s="5">
        <f t="shared" si="16"/>
        <v>1577.6</v>
      </c>
      <c r="U48" s="5">
        <f t="shared" si="17"/>
        <v>3155.2000000000003</v>
      </c>
    </row>
    <row r="49" spans="2:21">
      <c r="B49">
        <v>8</v>
      </c>
      <c r="C49" t="s">
        <v>717</v>
      </c>
      <c r="E49">
        <v>124608</v>
      </c>
      <c r="G49">
        <v>2015</v>
      </c>
      <c r="H49">
        <v>7</v>
      </c>
      <c r="I49">
        <v>0</v>
      </c>
      <c r="J49" t="s">
        <v>30</v>
      </c>
      <c r="K49" s="45">
        <v>12</v>
      </c>
      <c r="L49">
        <f t="shared" si="9"/>
        <v>2027</v>
      </c>
      <c r="M49" s="15">
        <f t="shared" si="10"/>
        <v>2027.5833333333333</v>
      </c>
      <c r="N49" s="5">
        <v>5624.96</v>
      </c>
      <c r="O49" s="5">
        <f t="shared" si="11"/>
        <v>5624.96</v>
      </c>
      <c r="P49" s="5">
        <f t="shared" si="12"/>
        <v>39.062222222222225</v>
      </c>
      <c r="Q49" s="5">
        <f t="shared" si="13"/>
        <v>468.74666666666667</v>
      </c>
      <c r="R49" s="5">
        <f t="shared" si="14"/>
        <v>468.74666666666667</v>
      </c>
      <c r="S49" s="5">
        <f t="shared" si="15"/>
        <v>1406.24</v>
      </c>
      <c r="T49" s="5">
        <f t="shared" si="16"/>
        <v>1874.9866666666667</v>
      </c>
      <c r="U49" s="5">
        <f t="shared" si="17"/>
        <v>3749.9733333333334</v>
      </c>
    </row>
    <row r="50" spans="2:21">
      <c r="B50">
        <v>10</v>
      </c>
      <c r="C50" t="s">
        <v>717</v>
      </c>
      <c r="E50">
        <v>115331</v>
      </c>
      <c r="G50">
        <v>2014</v>
      </c>
      <c r="H50">
        <v>7</v>
      </c>
      <c r="I50">
        <v>0</v>
      </c>
      <c r="J50" t="s">
        <v>30</v>
      </c>
      <c r="K50" s="45">
        <v>12</v>
      </c>
      <c r="L50">
        <f t="shared" si="9"/>
        <v>2026</v>
      </c>
      <c r="M50" s="15">
        <f t="shared" si="10"/>
        <v>2026.5833333333333</v>
      </c>
      <c r="N50" s="5">
        <v>5973.12</v>
      </c>
      <c r="O50" s="5">
        <f t="shared" si="11"/>
        <v>5973.12</v>
      </c>
      <c r="P50" s="5">
        <f t="shared" si="12"/>
        <v>41.48</v>
      </c>
      <c r="Q50" s="5">
        <f t="shared" si="13"/>
        <v>497.76</v>
      </c>
      <c r="R50" s="5">
        <f t="shared" si="14"/>
        <v>497.76</v>
      </c>
      <c r="S50" s="5">
        <f t="shared" si="15"/>
        <v>1991.04</v>
      </c>
      <c r="T50" s="5">
        <f t="shared" si="16"/>
        <v>2488.8000000000002</v>
      </c>
      <c r="U50" s="5">
        <f t="shared" si="17"/>
        <v>3484.3199999999997</v>
      </c>
    </row>
    <row r="51" spans="2:21">
      <c r="B51">
        <v>12</v>
      </c>
      <c r="C51" t="s">
        <v>832</v>
      </c>
      <c r="E51">
        <v>133567</v>
      </c>
      <c r="G51">
        <v>2016</v>
      </c>
      <c r="H51">
        <v>6</v>
      </c>
      <c r="I51">
        <v>0</v>
      </c>
      <c r="J51" t="s">
        <v>30</v>
      </c>
      <c r="K51" s="45">
        <v>7</v>
      </c>
      <c r="L51">
        <f t="shared" si="9"/>
        <v>2023</v>
      </c>
      <c r="M51" s="15">
        <f t="shared" si="10"/>
        <v>2023.5</v>
      </c>
      <c r="N51" s="5">
        <v>5679.3689999999997</v>
      </c>
      <c r="O51" s="5">
        <f t="shared" si="11"/>
        <v>5679.3689999999997</v>
      </c>
      <c r="P51" s="5">
        <f t="shared" si="12"/>
        <v>67.611535714285708</v>
      </c>
      <c r="Q51" s="5">
        <f t="shared" si="13"/>
        <v>811.33842857142849</v>
      </c>
      <c r="R51" s="5">
        <f t="shared" si="14"/>
        <v>811.33842857142849</v>
      </c>
      <c r="S51" s="5">
        <f t="shared" si="15"/>
        <v>1622.676857142857</v>
      </c>
      <c r="T51" s="5">
        <f t="shared" si="16"/>
        <v>2434.0152857142857</v>
      </c>
      <c r="U51" s="5">
        <f t="shared" si="17"/>
        <v>3245.353714285714</v>
      </c>
    </row>
    <row r="52" spans="2:21">
      <c r="B52">
        <v>10</v>
      </c>
      <c r="C52" t="s">
        <v>67</v>
      </c>
      <c r="G52">
        <v>2001</v>
      </c>
      <c r="H52">
        <v>3</v>
      </c>
      <c r="I52">
        <v>0</v>
      </c>
      <c r="J52" t="s">
        <v>30</v>
      </c>
      <c r="K52" s="45" t="s">
        <v>35</v>
      </c>
      <c r="L52">
        <f t="shared" si="9"/>
        <v>2011</v>
      </c>
      <c r="M52" s="15">
        <f t="shared" si="10"/>
        <v>2011.25</v>
      </c>
      <c r="N52" s="5">
        <v>3279.72</v>
      </c>
      <c r="O52" s="5">
        <f t="shared" si="11"/>
        <v>3279.72</v>
      </c>
      <c r="P52" s="5">
        <f t="shared" si="12"/>
        <v>27.331</v>
      </c>
      <c r="Q52" s="5">
        <f t="shared" si="13"/>
        <v>327.97199999999998</v>
      </c>
      <c r="R52" s="5">
        <f t="shared" si="14"/>
        <v>0</v>
      </c>
      <c r="S52" s="5">
        <f t="shared" si="15"/>
        <v>3279.72</v>
      </c>
      <c r="T52" s="5">
        <f t="shared" si="16"/>
        <v>3279.72</v>
      </c>
      <c r="U52" s="5">
        <f t="shared" si="17"/>
        <v>0</v>
      </c>
    </row>
    <row r="53" spans="2:21">
      <c r="B53">
        <v>15</v>
      </c>
      <c r="C53" t="s">
        <v>68</v>
      </c>
      <c r="G53">
        <v>1998</v>
      </c>
      <c r="H53">
        <v>2</v>
      </c>
      <c r="I53">
        <v>0</v>
      </c>
      <c r="J53" t="s">
        <v>30</v>
      </c>
      <c r="K53" s="45" t="s">
        <v>35</v>
      </c>
      <c r="L53">
        <f t="shared" si="9"/>
        <v>2008</v>
      </c>
      <c r="M53" s="15">
        <f t="shared" si="10"/>
        <v>2008.1666666666667</v>
      </c>
      <c r="N53" s="5">
        <v>5163.93</v>
      </c>
      <c r="O53" s="5">
        <f t="shared" si="11"/>
        <v>5163.93</v>
      </c>
      <c r="P53" s="5">
        <f t="shared" si="12"/>
        <v>43.03275</v>
      </c>
      <c r="Q53" s="5">
        <f t="shared" si="13"/>
        <v>516.39300000000003</v>
      </c>
      <c r="R53" s="5">
        <f t="shared" si="14"/>
        <v>0</v>
      </c>
      <c r="S53" s="5">
        <f t="shared" si="15"/>
        <v>5163.93</v>
      </c>
      <c r="T53" s="5">
        <f t="shared" si="16"/>
        <v>5163.93</v>
      </c>
      <c r="U53" s="5">
        <f t="shared" si="17"/>
        <v>0</v>
      </c>
    </row>
    <row r="54" spans="2:21">
      <c r="B54">
        <v>15</v>
      </c>
      <c r="C54" t="s">
        <v>68</v>
      </c>
      <c r="G54">
        <v>1998</v>
      </c>
      <c r="H54">
        <v>3</v>
      </c>
      <c r="I54">
        <v>0</v>
      </c>
      <c r="J54" t="s">
        <v>30</v>
      </c>
      <c r="K54" s="45" t="s">
        <v>35</v>
      </c>
      <c r="L54">
        <f t="shared" si="9"/>
        <v>2008</v>
      </c>
      <c r="M54" s="15">
        <f t="shared" si="10"/>
        <v>2008.25</v>
      </c>
      <c r="N54" s="5">
        <v>5163.93</v>
      </c>
      <c r="O54" s="5">
        <f t="shared" si="11"/>
        <v>5163.93</v>
      </c>
      <c r="P54" s="5">
        <f t="shared" si="12"/>
        <v>43.03275</v>
      </c>
      <c r="Q54" s="5">
        <f t="shared" si="13"/>
        <v>516.39300000000003</v>
      </c>
      <c r="R54" s="5">
        <f t="shared" si="14"/>
        <v>0</v>
      </c>
      <c r="S54" s="5">
        <f t="shared" si="15"/>
        <v>5163.93</v>
      </c>
      <c r="T54" s="5">
        <f t="shared" si="16"/>
        <v>5163.93</v>
      </c>
      <c r="U54" s="5">
        <f t="shared" si="17"/>
        <v>0</v>
      </c>
    </row>
    <row r="55" spans="2:21">
      <c r="B55">
        <v>25</v>
      </c>
      <c r="C55" t="s">
        <v>68</v>
      </c>
      <c r="G55">
        <v>1998</v>
      </c>
      <c r="H55">
        <v>2</v>
      </c>
      <c r="I55">
        <v>0</v>
      </c>
      <c r="J55" t="s">
        <v>30</v>
      </c>
      <c r="K55" s="45" t="s">
        <v>35</v>
      </c>
      <c r="L55">
        <f t="shared" si="9"/>
        <v>2008</v>
      </c>
      <c r="M55" s="15">
        <f t="shared" si="10"/>
        <v>2008.1666666666667</v>
      </c>
      <c r="N55" s="5">
        <v>9040.9500000000007</v>
      </c>
      <c r="O55" s="5">
        <f t="shared" si="11"/>
        <v>9040.9500000000007</v>
      </c>
      <c r="P55" s="5">
        <f t="shared" si="12"/>
        <v>75.341250000000002</v>
      </c>
      <c r="Q55" s="5">
        <f t="shared" si="13"/>
        <v>904.09500000000003</v>
      </c>
      <c r="R55" s="5">
        <f t="shared" si="14"/>
        <v>0</v>
      </c>
      <c r="S55" s="5">
        <f t="shared" si="15"/>
        <v>9040.9500000000007</v>
      </c>
      <c r="T55" s="5">
        <f t="shared" si="16"/>
        <v>9040.9500000000007</v>
      </c>
      <c r="U55" s="5">
        <f t="shared" si="17"/>
        <v>0</v>
      </c>
    </row>
    <row r="56" spans="2:21">
      <c r="B56">
        <v>15</v>
      </c>
      <c r="C56" t="s">
        <v>233</v>
      </c>
      <c r="G56">
        <v>1997</v>
      </c>
      <c r="H56">
        <v>12</v>
      </c>
      <c r="I56">
        <v>0</v>
      </c>
      <c r="J56" t="s">
        <v>30</v>
      </c>
      <c r="K56" s="45" t="s">
        <v>35</v>
      </c>
      <c r="L56">
        <f t="shared" si="9"/>
        <v>2007</v>
      </c>
      <c r="M56" s="15">
        <f t="shared" si="10"/>
        <v>2008</v>
      </c>
      <c r="N56" s="5">
        <v>5163.93</v>
      </c>
      <c r="O56" s="5">
        <f t="shared" si="11"/>
        <v>5163.93</v>
      </c>
      <c r="P56" s="5">
        <f t="shared" si="12"/>
        <v>43.03275</v>
      </c>
      <c r="Q56" s="5">
        <f t="shared" si="13"/>
        <v>516.39300000000003</v>
      </c>
      <c r="R56" s="5">
        <f t="shared" si="14"/>
        <v>0</v>
      </c>
      <c r="S56" s="5">
        <f t="shared" si="15"/>
        <v>5163.93</v>
      </c>
      <c r="T56" s="5">
        <f t="shared" si="16"/>
        <v>5163.93</v>
      </c>
      <c r="U56" s="5">
        <f t="shared" si="17"/>
        <v>0</v>
      </c>
    </row>
    <row r="57" spans="2:21">
      <c r="B57">
        <v>10</v>
      </c>
      <c r="C57" t="s">
        <v>684</v>
      </c>
      <c r="E57">
        <v>107126</v>
      </c>
      <c r="G57">
        <v>2013</v>
      </c>
      <c r="H57">
        <v>8</v>
      </c>
      <c r="I57">
        <v>0</v>
      </c>
      <c r="J57" t="s">
        <v>30</v>
      </c>
      <c r="K57" s="45">
        <v>12</v>
      </c>
      <c r="L57">
        <f t="shared" si="9"/>
        <v>2025</v>
      </c>
      <c r="M57" s="15">
        <f t="shared" si="10"/>
        <v>2025.6666666666667</v>
      </c>
      <c r="N57" s="5">
        <v>4896</v>
      </c>
      <c r="O57" s="5">
        <f t="shared" si="11"/>
        <v>4896</v>
      </c>
      <c r="P57" s="5">
        <f t="shared" si="12"/>
        <v>34</v>
      </c>
      <c r="Q57" s="5">
        <f t="shared" si="13"/>
        <v>408</v>
      </c>
      <c r="R57" s="5">
        <f t="shared" si="14"/>
        <v>408</v>
      </c>
      <c r="S57" s="5">
        <f t="shared" si="15"/>
        <v>2040</v>
      </c>
      <c r="T57" s="5">
        <f t="shared" si="16"/>
        <v>2448</v>
      </c>
      <c r="U57" s="5">
        <f t="shared" si="17"/>
        <v>2448</v>
      </c>
    </row>
    <row r="58" spans="2:21">
      <c r="B58">
        <v>15</v>
      </c>
      <c r="C58" t="s">
        <v>234</v>
      </c>
      <c r="G58">
        <v>2000</v>
      </c>
      <c r="H58">
        <v>4</v>
      </c>
      <c r="I58">
        <v>0</v>
      </c>
      <c r="J58" t="s">
        <v>30</v>
      </c>
      <c r="K58" s="45" t="s">
        <v>35</v>
      </c>
      <c r="L58">
        <f t="shared" si="9"/>
        <v>2010</v>
      </c>
      <c r="M58" s="15">
        <f t="shared" si="10"/>
        <v>2010.3333333333333</v>
      </c>
      <c r="N58" s="5">
        <v>4687.18</v>
      </c>
      <c r="O58" s="5">
        <f t="shared" si="11"/>
        <v>4687.18</v>
      </c>
      <c r="P58" s="5">
        <f t="shared" si="12"/>
        <v>39.059833333333337</v>
      </c>
      <c r="Q58" s="5">
        <f t="shared" si="13"/>
        <v>468.71800000000007</v>
      </c>
      <c r="R58" s="5">
        <f t="shared" si="14"/>
        <v>0</v>
      </c>
      <c r="S58" s="5">
        <f t="shared" si="15"/>
        <v>4687.18</v>
      </c>
      <c r="T58" s="5">
        <f t="shared" si="16"/>
        <v>4687.18</v>
      </c>
      <c r="U58" s="5">
        <f t="shared" si="17"/>
        <v>0</v>
      </c>
    </row>
    <row r="59" spans="2:21">
      <c r="B59">
        <v>12</v>
      </c>
      <c r="C59" t="s">
        <v>1108</v>
      </c>
      <c r="E59">
        <v>208945</v>
      </c>
      <c r="G59">
        <v>2019</v>
      </c>
      <c r="H59">
        <v>1</v>
      </c>
      <c r="I59">
        <v>0</v>
      </c>
      <c r="J59" t="s">
        <v>30</v>
      </c>
      <c r="K59" s="45">
        <v>12</v>
      </c>
      <c r="L59">
        <f t="shared" si="9"/>
        <v>2031</v>
      </c>
      <c r="M59" s="15">
        <f t="shared" si="10"/>
        <v>2031.0833333333333</v>
      </c>
      <c r="N59" s="5">
        <v>6662.92</v>
      </c>
      <c r="O59" s="5">
        <f t="shared" si="11"/>
        <v>6662.92</v>
      </c>
      <c r="P59" s="5">
        <f t="shared" si="12"/>
        <v>46.270277777777778</v>
      </c>
      <c r="Q59" s="5">
        <f t="shared" si="13"/>
        <v>555.24333333333334</v>
      </c>
      <c r="R59" s="5">
        <f t="shared" si="14"/>
        <v>555.24333333333334</v>
      </c>
      <c r="S59" s="5">
        <f t="shared" si="15"/>
        <v>0</v>
      </c>
      <c r="T59" s="5">
        <f t="shared" si="16"/>
        <v>555.24333333333334</v>
      </c>
      <c r="U59" s="5">
        <f t="shared" si="17"/>
        <v>6107.6766666666663</v>
      </c>
    </row>
    <row r="60" spans="2:21">
      <c r="B60">
        <v>12</v>
      </c>
      <c r="C60" t="s">
        <v>1108</v>
      </c>
      <c r="E60">
        <v>222647</v>
      </c>
      <c r="G60">
        <v>2019</v>
      </c>
      <c r="H60">
        <v>10</v>
      </c>
      <c r="I60">
        <v>0</v>
      </c>
      <c r="J60" t="s">
        <v>30</v>
      </c>
      <c r="K60" s="45">
        <v>12</v>
      </c>
      <c r="L60">
        <f t="shared" si="9"/>
        <v>2031</v>
      </c>
      <c r="M60" s="15">
        <f t="shared" si="10"/>
        <v>2031.8333333333333</v>
      </c>
      <c r="N60" s="5">
        <v>6808.72</v>
      </c>
      <c r="O60" s="5">
        <f t="shared" si="11"/>
        <v>6808.72</v>
      </c>
      <c r="P60" s="5">
        <f t="shared" si="12"/>
        <v>47.282777777777774</v>
      </c>
      <c r="Q60" s="5">
        <f t="shared" si="13"/>
        <v>567.39333333333332</v>
      </c>
      <c r="R60" s="5">
        <f t="shared" si="14"/>
        <v>567.39333333333332</v>
      </c>
      <c r="S60" s="5">
        <f t="shared" si="15"/>
        <v>0</v>
      </c>
      <c r="T60" s="5">
        <f t="shared" si="16"/>
        <v>567.39333333333332</v>
      </c>
      <c r="U60" s="5">
        <f t="shared" si="17"/>
        <v>6241.3266666666668</v>
      </c>
    </row>
    <row r="61" spans="2:21">
      <c r="B61">
        <v>32</v>
      </c>
      <c r="C61" t="s">
        <v>844</v>
      </c>
      <c r="E61">
        <v>171562</v>
      </c>
      <c r="G61">
        <v>2016</v>
      </c>
      <c r="H61">
        <v>12</v>
      </c>
      <c r="I61">
        <v>0</v>
      </c>
      <c r="J61" t="s">
        <v>30</v>
      </c>
      <c r="K61" s="45">
        <v>12</v>
      </c>
      <c r="L61">
        <f t="shared" si="9"/>
        <v>2028</v>
      </c>
      <c r="M61" s="15">
        <f t="shared" si="10"/>
        <v>2029</v>
      </c>
      <c r="N61" s="5">
        <v>18452.48</v>
      </c>
      <c r="O61" s="5">
        <f t="shared" si="11"/>
        <v>18452.48</v>
      </c>
      <c r="P61" s="5">
        <f t="shared" si="12"/>
        <v>128.14222222222222</v>
      </c>
      <c r="Q61" s="5">
        <f t="shared" si="13"/>
        <v>1537.7066666666665</v>
      </c>
      <c r="R61" s="5">
        <f t="shared" si="14"/>
        <v>1537.7066666666665</v>
      </c>
      <c r="S61" s="5">
        <f t="shared" si="15"/>
        <v>3075.413333333333</v>
      </c>
      <c r="T61" s="5">
        <f t="shared" si="16"/>
        <v>4613.119999999999</v>
      </c>
      <c r="U61" s="5">
        <f t="shared" si="17"/>
        <v>13839.36</v>
      </c>
    </row>
    <row r="62" spans="2:21">
      <c r="B62">
        <v>27</v>
      </c>
      <c r="C62" t="s">
        <v>656</v>
      </c>
      <c r="E62">
        <v>95921</v>
      </c>
      <c r="G62">
        <v>2012</v>
      </c>
      <c r="H62">
        <v>8</v>
      </c>
      <c r="I62">
        <v>0</v>
      </c>
      <c r="J62" t="s">
        <v>30</v>
      </c>
      <c r="K62" s="45">
        <v>12</v>
      </c>
      <c r="L62">
        <f t="shared" si="9"/>
        <v>2024</v>
      </c>
      <c r="M62" s="15">
        <f t="shared" si="10"/>
        <v>2024.6666666666667</v>
      </c>
      <c r="N62" s="5">
        <v>13614.14</v>
      </c>
      <c r="O62" s="5">
        <f t="shared" si="11"/>
        <v>13614.14</v>
      </c>
      <c r="P62" s="5">
        <f t="shared" si="12"/>
        <v>94.542638888888874</v>
      </c>
      <c r="Q62" s="5">
        <f t="shared" si="13"/>
        <v>1134.5116666666665</v>
      </c>
      <c r="R62" s="5">
        <f t="shared" si="14"/>
        <v>1134.5116666666665</v>
      </c>
      <c r="S62" s="5">
        <f t="shared" si="15"/>
        <v>6807.07</v>
      </c>
      <c r="T62" s="5">
        <f t="shared" si="16"/>
        <v>7941.581666666666</v>
      </c>
      <c r="U62" s="5">
        <f t="shared" si="17"/>
        <v>5672.5583333333334</v>
      </c>
    </row>
    <row r="63" spans="2:21">
      <c r="B63">
        <v>13</v>
      </c>
      <c r="C63" t="s">
        <v>382</v>
      </c>
      <c r="G63">
        <v>2010</v>
      </c>
      <c r="H63">
        <v>6</v>
      </c>
      <c r="I63">
        <v>0</v>
      </c>
      <c r="J63" t="s">
        <v>30</v>
      </c>
      <c r="K63" s="45" t="s">
        <v>35</v>
      </c>
      <c r="L63">
        <f t="shared" si="9"/>
        <v>2020</v>
      </c>
      <c r="M63" s="15">
        <f t="shared" si="10"/>
        <v>2020.5</v>
      </c>
      <c r="N63" s="5">
        <v>6771.14</v>
      </c>
      <c r="O63" s="5">
        <f t="shared" si="11"/>
        <v>6771.14</v>
      </c>
      <c r="P63" s="5">
        <f t="shared" si="12"/>
        <v>56.426166666666667</v>
      </c>
      <c r="Q63" s="5">
        <f t="shared" si="13"/>
        <v>677.11400000000003</v>
      </c>
      <c r="R63" s="5">
        <f t="shared" si="14"/>
        <v>677.11400000000003</v>
      </c>
      <c r="S63" s="5">
        <f t="shared" si="15"/>
        <v>5416.9120000000003</v>
      </c>
      <c r="T63" s="5">
        <f t="shared" si="16"/>
        <v>6094.0259999999998</v>
      </c>
      <c r="U63" s="5">
        <f t="shared" si="17"/>
        <v>677.11400000000049</v>
      </c>
    </row>
    <row r="64" spans="2:21">
      <c r="B64">
        <v>6</v>
      </c>
      <c r="C64" t="s">
        <v>1076</v>
      </c>
      <c r="E64">
        <v>206683</v>
      </c>
      <c r="G64">
        <v>2018</v>
      </c>
      <c r="H64">
        <v>11</v>
      </c>
      <c r="I64">
        <v>0</v>
      </c>
      <c r="J64" t="s">
        <v>30</v>
      </c>
      <c r="K64" s="45">
        <v>12</v>
      </c>
      <c r="L64">
        <f t="shared" si="9"/>
        <v>2030</v>
      </c>
      <c r="M64" s="15">
        <f t="shared" si="10"/>
        <v>2030.9166666666667</v>
      </c>
      <c r="N64" s="5">
        <v>3823.32</v>
      </c>
      <c r="O64" s="5">
        <f t="shared" si="11"/>
        <v>3823.32</v>
      </c>
      <c r="P64" s="5">
        <f t="shared" si="12"/>
        <v>26.550833333333333</v>
      </c>
      <c r="Q64" s="5">
        <f t="shared" si="13"/>
        <v>318.61</v>
      </c>
      <c r="R64" s="5">
        <f t="shared" si="14"/>
        <v>318.61</v>
      </c>
      <c r="S64" s="5">
        <f t="shared" si="15"/>
        <v>0</v>
      </c>
      <c r="T64" s="5">
        <f t="shared" si="16"/>
        <v>318.61</v>
      </c>
      <c r="U64" s="5">
        <f t="shared" si="17"/>
        <v>3504.71</v>
      </c>
    </row>
    <row r="65" spans="2:21">
      <c r="B65">
        <v>3</v>
      </c>
      <c r="C65" t="s">
        <v>1074</v>
      </c>
      <c r="E65">
        <v>206686</v>
      </c>
      <c r="G65">
        <v>2018</v>
      </c>
      <c r="H65">
        <v>11</v>
      </c>
      <c r="I65">
        <v>0</v>
      </c>
      <c r="J65" t="s">
        <v>30</v>
      </c>
      <c r="K65" s="45">
        <v>12</v>
      </c>
      <c r="L65">
        <f t="shared" ref="L65:L119" si="18">G65+K65</f>
        <v>2030</v>
      </c>
      <c r="M65" s="15">
        <f t="shared" ref="M65:M119" si="19">+L65+(H65/12)</f>
        <v>2030.9166666666667</v>
      </c>
      <c r="N65" s="5">
        <v>1911.65</v>
      </c>
      <c r="O65" s="5">
        <f t="shared" ref="O65:O119" si="20">N65-N65*I65</f>
        <v>1911.65</v>
      </c>
      <c r="P65" s="5">
        <f t="shared" ref="P65:P119" si="21">O65/K65/12</f>
        <v>13.275347222222223</v>
      </c>
      <c r="Q65" s="5">
        <f t="shared" ref="Q65:Q119" si="22">P65*12</f>
        <v>159.30416666666667</v>
      </c>
      <c r="R65" s="5">
        <f t="shared" ref="R65:R119" si="23">+IF(M65&lt;=$O$5,0,IF(L65&gt;$O$4,Q65,(P65*H65)))</f>
        <v>159.30416666666667</v>
      </c>
      <c r="S65" s="5">
        <f t="shared" ref="S65:S119" si="24">+IF(R65=0,N65,IF($O$3-G65&lt;1,0,(($O$3-G65)*Q65)))</f>
        <v>0</v>
      </c>
      <c r="T65" s="5">
        <f t="shared" ref="T65:T119" si="25">+IF(R65=0,S65,S65+R65)</f>
        <v>159.30416666666667</v>
      </c>
      <c r="U65" s="5">
        <f t="shared" ref="U65:U119" si="26">+N65-T65</f>
        <v>1752.3458333333333</v>
      </c>
    </row>
    <row r="66" spans="2:21">
      <c r="B66">
        <v>5</v>
      </c>
      <c r="C66" t="s">
        <v>1074</v>
      </c>
      <c r="E66">
        <v>206681</v>
      </c>
      <c r="G66">
        <v>2018</v>
      </c>
      <c r="H66">
        <v>10</v>
      </c>
      <c r="I66">
        <v>0</v>
      </c>
      <c r="J66" t="s">
        <v>30</v>
      </c>
      <c r="K66" s="45">
        <v>12</v>
      </c>
      <c r="L66">
        <f t="shared" si="18"/>
        <v>2030</v>
      </c>
      <c r="M66" s="15">
        <f t="shared" si="19"/>
        <v>2030.8333333333333</v>
      </c>
      <c r="N66" s="5">
        <v>3186.1</v>
      </c>
      <c r="O66" s="5">
        <f t="shared" si="20"/>
        <v>3186.1</v>
      </c>
      <c r="P66" s="5">
        <f t="shared" si="21"/>
        <v>22.125694444444445</v>
      </c>
      <c r="Q66" s="5">
        <f t="shared" si="22"/>
        <v>265.50833333333333</v>
      </c>
      <c r="R66" s="5">
        <f t="shared" si="23"/>
        <v>265.50833333333333</v>
      </c>
      <c r="S66" s="5">
        <f t="shared" si="24"/>
        <v>0</v>
      </c>
      <c r="T66" s="5">
        <f t="shared" si="25"/>
        <v>265.50833333333333</v>
      </c>
      <c r="U66" s="5">
        <f t="shared" si="26"/>
        <v>2920.5916666666667</v>
      </c>
    </row>
    <row r="67" spans="2:21">
      <c r="B67">
        <v>10</v>
      </c>
      <c r="C67" t="s">
        <v>1074</v>
      </c>
      <c r="E67">
        <v>206680</v>
      </c>
      <c r="G67">
        <v>2018</v>
      </c>
      <c r="H67">
        <v>11</v>
      </c>
      <c r="I67">
        <v>0</v>
      </c>
      <c r="J67" t="s">
        <v>30</v>
      </c>
      <c r="K67" s="45">
        <v>12</v>
      </c>
      <c r="L67">
        <f t="shared" si="18"/>
        <v>2030</v>
      </c>
      <c r="M67" s="15">
        <f t="shared" si="19"/>
        <v>2030.9166666666667</v>
      </c>
      <c r="N67" s="5">
        <v>6372.19</v>
      </c>
      <c r="O67" s="5">
        <f t="shared" si="20"/>
        <v>6372.19</v>
      </c>
      <c r="P67" s="5">
        <f t="shared" si="21"/>
        <v>44.251319444444441</v>
      </c>
      <c r="Q67" s="5">
        <f t="shared" si="22"/>
        <v>531.01583333333326</v>
      </c>
      <c r="R67" s="5">
        <f t="shared" si="23"/>
        <v>531.01583333333326</v>
      </c>
      <c r="S67" s="5">
        <f t="shared" si="24"/>
        <v>0</v>
      </c>
      <c r="T67" s="5">
        <f t="shared" si="25"/>
        <v>531.01583333333326</v>
      </c>
      <c r="U67" s="5">
        <f t="shared" si="26"/>
        <v>5841.1741666666667</v>
      </c>
    </row>
    <row r="68" spans="2:21">
      <c r="B68">
        <v>2</v>
      </c>
      <c r="C68" t="s">
        <v>75</v>
      </c>
      <c r="G68">
        <v>2004</v>
      </c>
      <c r="H68">
        <v>7</v>
      </c>
      <c r="I68">
        <v>0</v>
      </c>
      <c r="J68" t="s">
        <v>30</v>
      </c>
      <c r="K68" s="45" t="s">
        <v>35</v>
      </c>
      <c r="L68">
        <f t="shared" si="18"/>
        <v>2014</v>
      </c>
      <c r="M68" s="15">
        <f t="shared" si="19"/>
        <v>2014.5833333333333</v>
      </c>
      <c r="N68" s="5">
        <v>715.44</v>
      </c>
      <c r="O68" s="5">
        <f t="shared" si="20"/>
        <v>715.44</v>
      </c>
      <c r="P68" s="5">
        <f t="shared" si="21"/>
        <v>5.9620000000000006</v>
      </c>
      <c r="Q68" s="5">
        <f t="shared" si="22"/>
        <v>71.544000000000011</v>
      </c>
      <c r="R68" s="5">
        <f t="shared" si="23"/>
        <v>0</v>
      </c>
      <c r="S68" s="5">
        <f t="shared" si="24"/>
        <v>715.44</v>
      </c>
      <c r="T68" s="5">
        <f t="shared" si="25"/>
        <v>715.44</v>
      </c>
      <c r="U68" s="5">
        <f t="shared" si="26"/>
        <v>0</v>
      </c>
    </row>
    <row r="69" spans="2:21">
      <c r="B69">
        <v>5</v>
      </c>
      <c r="C69" t="s">
        <v>75</v>
      </c>
      <c r="G69">
        <v>2003</v>
      </c>
      <c r="H69">
        <v>11</v>
      </c>
      <c r="I69">
        <v>0</v>
      </c>
      <c r="J69" t="s">
        <v>30</v>
      </c>
      <c r="K69" s="45" t="s">
        <v>35</v>
      </c>
      <c r="L69">
        <f t="shared" si="18"/>
        <v>2013</v>
      </c>
      <c r="M69" s="15">
        <f t="shared" si="19"/>
        <v>2013.9166666666667</v>
      </c>
      <c r="N69" s="5">
        <v>1731.2</v>
      </c>
      <c r="O69" s="5">
        <f t="shared" si="20"/>
        <v>1731.2</v>
      </c>
      <c r="P69" s="5">
        <f t="shared" si="21"/>
        <v>14.426666666666668</v>
      </c>
      <c r="Q69" s="5">
        <f t="shared" si="22"/>
        <v>173.12</v>
      </c>
      <c r="R69" s="5">
        <f t="shared" si="23"/>
        <v>0</v>
      </c>
      <c r="S69" s="5">
        <f t="shared" si="24"/>
        <v>1731.2</v>
      </c>
      <c r="T69" s="5">
        <f t="shared" si="25"/>
        <v>1731.2</v>
      </c>
      <c r="U69" s="5">
        <f t="shared" si="26"/>
        <v>0</v>
      </c>
    </row>
    <row r="70" spans="2:21">
      <c r="B70">
        <v>35</v>
      </c>
      <c r="C70" t="s">
        <v>75</v>
      </c>
      <c r="G70">
        <v>1999</v>
      </c>
      <c r="H70">
        <v>12</v>
      </c>
      <c r="I70">
        <v>0</v>
      </c>
      <c r="J70" t="s">
        <v>30</v>
      </c>
      <c r="K70" s="45" t="s">
        <v>35</v>
      </c>
      <c r="L70">
        <f t="shared" si="18"/>
        <v>2009</v>
      </c>
      <c r="M70" s="15">
        <f t="shared" si="19"/>
        <v>2010</v>
      </c>
      <c r="N70" s="5">
        <v>8688</v>
      </c>
      <c r="O70" s="5">
        <f t="shared" si="20"/>
        <v>8688</v>
      </c>
      <c r="P70" s="5">
        <f t="shared" si="21"/>
        <v>72.399999999999991</v>
      </c>
      <c r="Q70" s="5">
        <f t="shared" si="22"/>
        <v>868.8</v>
      </c>
      <c r="R70" s="5">
        <f t="shared" si="23"/>
        <v>0</v>
      </c>
      <c r="S70" s="5">
        <f t="shared" si="24"/>
        <v>8688</v>
      </c>
      <c r="T70" s="5">
        <f t="shared" si="25"/>
        <v>8688</v>
      </c>
      <c r="U70" s="5">
        <f t="shared" si="26"/>
        <v>0</v>
      </c>
    </row>
    <row r="71" spans="2:21">
      <c r="B71">
        <v>28</v>
      </c>
      <c r="C71" t="s">
        <v>75</v>
      </c>
      <c r="G71">
        <v>2000</v>
      </c>
      <c r="H71">
        <v>4</v>
      </c>
      <c r="I71">
        <v>0</v>
      </c>
      <c r="J71" t="s">
        <v>30</v>
      </c>
      <c r="K71" s="45" t="s">
        <v>35</v>
      </c>
      <c r="L71">
        <f t="shared" si="18"/>
        <v>2010</v>
      </c>
      <c r="M71" s="15">
        <f t="shared" si="19"/>
        <v>2010.3333333333333</v>
      </c>
      <c r="N71" s="5">
        <v>9383.0400000000009</v>
      </c>
      <c r="O71" s="5">
        <f t="shared" si="20"/>
        <v>9383.0400000000009</v>
      </c>
      <c r="P71" s="5">
        <f t="shared" si="21"/>
        <v>78.192000000000007</v>
      </c>
      <c r="Q71" s="5">
        <f t="shared" si="22"/>
        <v>938.30400000000009</v>
      </c>
      <c r="R71" s="5">
        <f t="shared" si="23"/>
        <v>0</v>
      </c>
      <c r="S71" s="5">
        <f t="shared" si="24"/>
        <v>9383.0400000000009</v>
      </c>
      <c r="T71" s="5">
        <f t="shared" si="25"/>
        <v>9383.0400000000009</v>
      </c>
      <c r="U71" s="5">
        <f t="shared" si="26"/>
        <v>0</v>
      </c>
    </row>
    <row r="72" spans="2:21">
      <c r="B72">
        <v>1</v>
      </c>
      <c r="C72" t="s">
        <v>707</v>
      </c>
      <c r="E72">
        <v>124560</v>
      </c>
      <c r="G72">
        <v>2015</v>
      </c>
      <c r="H72">
        <v>7</v>
      </c>
      <c r="I72">
        <v>0</v>
      </c>
      <c r="J72" t="s">
        <v>30</v>
      </c>
      <c r="K72" s="45">
        <v>12</v>
      </c>
      <c r="L72">
        <f t="shared" si="18"/>
        <v>2027</v>
      </c>
      <c r="M72" s="15">
        <f t="shared" si="19"/>
        <v>2027.5833333333333</v>
      </c>
      <c r="N72" s="5">
        <v>571.20000000000005</v>
      </c>
      <c r="O72" s="5">
        <f t="shared" si="20"/>
        <v>571.20000000000005</v>
      </c>
      <c r="P72" s="5">
        <f t="shared" si="21"/>
        <v>3.9666666666666668</v>
      </c>
      <c r="Q72" s="5">
        <f t="shared" si="22"/>
        <v>47.6</v>
      </c>
      <c r="R72" s="5">
        <f t="shared" si="23"/>
        <v>47.6</v>
      </c>
      <c r="S72" s="5">
        <f t="shared" si="24"/>
        <v>142.80000000000001</v>
      </c>
      <c r="T72" s="5">
        <f t="shared" si="25"/>
        <v>190.4</v>
      </c>
      <c r="U72" s="5">
        <f t="shared" si="26"/>
        <v>380.80000000000007</v>
      </c>
    </row>
    <row r="73" spans="2:21">
      <c r="B73">
        <v>15</v>
      </c>
      <c r="C73" t="s">
        <v>707</v>
      </c>
      <c r="E73">
        <v>126212</v>
      </c>
      <c r="G73">
        <v>2015</v>
      </c>
      <c r="H73">
        <v>9</v>
      </c>
      <c r="I73">
        <v>0</v>
      </c>
      <c r="J73" t="s">
        <v>30</v>
      </c>
      <c r="K73" s="45">
        <v>12</v>
      </c>
      <c r="L73">
        <f t="shared" si="18"/>
        <v>2027</v>
      </c>
      <c r="M73" s="15">
        <f t="shared" si="19"/>
        <v>2027.75</v>
      </c>
      <c r="N73" s="5">
        <v>7670.4</v>
      </c>
      <c r="O73" s="5">
        <f t="shared" si="20"/>
        <v>7670.4</v>
      </c>
      <c r="P73" s="5">
        <f t="shared" si="21"/>
        <v>53.266666666666659</v>
      </c>
      <c r="Q73" s="5">
        <f t="shared" si="22"/>
        <v>639.19999999999993</v>
      </c>
      <c r="R73" s="5">
        <f t="shared" si="23"/>
        <v>639.19999999999993</v>
      </c>
      <c r="S73" s="5">
        <f t="shared" si="24"/>
        <v>1917.6</v>
      </c>
      <c r="T73" s="5">
        <f t="shared" si="25"/>
        <v>2556.7999999999997</v>
      </c>
      <c r="U73" s="5">
        <f t="shared" si="26"/>
        <v>5113.6000000000004</v>
      </c>
    </row>
    <row r="74" spans="2:21">
      <c r="B74">
        <v>14</v>
      </c>
      <c r="C74" t="s">
        <v>707</v>
      </c>
      <c r="E74">
        <v>126469</v>
      </c>
      <c r="G74">
        <v>2015</v>
      </c>
      <c r="H74">
        <v>7</v>
      </c>
      <c r="I74">
        <v>0</v>
      </c>
      <c r="J74" t="s">
        <v>30</v>
      </c>
      <c r="K74" s="45">
        <v>12</v>
      </c>
      <c r="L74">
        <f t="shared" si="18"/>
        <v>2027</v>
      </c>
      <c r="M74" s="15">
        <f t="shared" si="19"/>
        <v>2027.5833333333333</v>
      </c>
      <c r="N74" s="5">
        <v>7996.8</v>
      </c>
      <c r="O74" s="5">
        <f t="shared" si="20"/>
        <v>7996.8</v>
      </c>
      <c r="P74" s="5">
        <f t="shared" si="21"/>
        <v>55.533333333333331</v>
      </c>
      <c r="Q74" s="5">
        <f t="shared" si="22"/>
        <v>666.4</v>
      </c>
      <c r="R74" s="5">
        <f t="shared" si="23"/>
        <v>666.4</v>
      </c>
      <c r="S74" s="5">
        <f t="shared" si="24"/>
        <v>1999.1999999999998</v>
      </c>
      <c r="T74" s="5">
        <f t="shared" si="25"/>
        <v>2665.6</v>
      </c>
      <c r="U74" s="5">
        <f t="shared" si="26"/>
        <v>5331.2000000000007</v>
      </c>
    </row>
    <row r="75" spans="2:21">
      <c r="B75">
        <v>17</v>
      </c>
      <c r="C75" t="s">
        <v>707</v>
      </c>
      <c r="E75">
        <v>112986</v>
      </c>
      <c r="G75">
        <v>2014</v>
      </c>
      <c r="H75">
        <v>2</v>
      </c>
      <c r="I75">
        <v>0</v>
      </c>
      <c r="J75" t="s">
        <v>30</v>
      </c>
      <c r="K75" s="45">
        <v>12</v>
      </c>
      <c r="L75">
        <f t="shared" si="18"/>
        <v>2026</v>
      </c>
      <c r="M75" s="15">
        <f t="shared" si="19"/>
        <v>2026.1666666666667</v>
      </c>
      <c r="N75" s="5">
        <v>8516.86</v>
      </c>
      <c r="O75" s="5">
        <f t="shared" si="20"/>
        <v>8516.86</v>
      </c>
      <c r="P75" s="5">
        <f t="shared" si="21"/>
        <v>59.144861111111112</v>
      </c>
      <c r="Q75" s="5">
        <f t="shared" si="22"/>
        <v>709.73833333333334</v>
      </c>
      <c r="R75" s="5">
        <f t="shared" si="23"/>
        <v>709.73833333333334</v>
      </c>
      <c r="S75" s="5">
        <f t="shared" si="24"/>
        <v>2838.9533333333334</v>
      </c>
      <c r="T75" s="5">
        <f t="shared" si="25"/>
        <v>3548.6916666666666</v>
      </c>
      <c r="U75" s="5">
        <f t="shared" si="26"/>
        <v>4968.168333333334</v>
      </c>
    </row>
    <row r="76" spans="2:21">
      <c r="B76">
        <v>20</v>
      </c>
      <c r="C76" t="s">
        <v>707</v>
      </c>
      <c r="E76">
        <v>115899</v>
      </c>
      <c r="G76">
        <v>2014</v>
      </c>
      <c r="H76">
        <v>7</v>
      </c>
      <c r="I76">
        <v>0</v>
      </c>
      <c r="J76" t="s">
        <v>30</v>
      </c>
      <c r="K76" s="45">
        <v>12</v>
      </c>
      <c r="L76">
        <f t="shared" si="18"/>
        <v>2026</v>
      </c>
      <c r="M76" s="15">
        <f t="shared" si="19"/>
        <v>2026.5833333333333</v>
      </c>
      <c r="N76" s="5">
        <v>12033.28</v>
      </c>
      <c r="O76" s="5">
        <f t="shared" si="20"/>
        <v>12033.28</v>
      </c>
      <c r="P76" s="5">
        <f t="shared" si="21"/>
        <v>83.564444444444447</v>
      </c>
      <c r="Q76" s="5">
        <f t="shared" si="22"/>
        <v>1002.7733333333333</v>
      </c>
      <c r="R76" s="5">
        <f t="shared" si="23"/>
        <v>1002.7733333333333</v>
      </c>
      <c r="S76" s="5">
        <f t="shared" si="24"/>
        <v>4011.0933333333332</v>
      </c>
      <c r="T76" s="5">
        <f t="shared" si="25"/>
        <v>5013.8666666666668</v>
      </c>
      <c r="U76" s="5">
        <f t="shared" si="26"/>
        <v>7019.4133333333339</v>
      </c>
    </row>
    <row r="77" spans="2:21">
      <c r="B77">
        <v>36</v>
      </c>
      <c r="C77" t="s">
        <v>707</v>
      </c>
      <c r="E77">
        <v>113633</v>
      </c>
      <c r="G77">
        <v>2014</v>
      </c>
      <c r="H77">
        <v>5</v>
      </c>
      <c r="I77">
        <v>0</v>
      </c>
      <c r="J77" t="s">
        <v>30</v>
      </c>
      <c r="K77" s="45">
        <v>12</v>
      </c>
      <c r="L77">
        <f t="shared" si="18"/>
        <v>2026</v>
      </c>
      <c r="M77" s="15">
        <f t="shared" si="19"/>
        <v>2026.4166666666667</v>
      </c>
      <c r="N77" s="5">
        <v>18169.599999999999</v>
      </c>
      <c r="O77" s="5">
        <f t="shared" si="20"/>
        <v>18169.599999999999</v>
      </c>
      <c r="P77" s="5">
        <f t="shared" si="21"/>
        <v>126.17777777777776</v>
      </c>
      <c r="Q77" s="5">
        <f t="shared" si="22"/>
        <v>1514.1333333333332</v>
      </c>
      <c r="R77" s="5">
        <f t="shared" si="23"/>
        <v>1514.1333333333332</v>
      </c>
      <c r="S77" s="5">
        <f t="shared" si="24"/>
        <v>6056.5333333333328</v>
      </c>
      <c r="T77" s="5">
        <f t="shared" si="25"/>
        <v>7570.6666666666661</v>
      </c>
      <c r="U77" s="5">
        <f t="shared" si="26"/>
        <v>10598.933333333332</v>
      </c>
    </row>
    <row r="78" spans="2:21">
      <c r="B78">
        <v>6</v>
      </c>
      <c r="C78" t="s">
        <v>76</v>
      </c>
      <c r="G78">
        <v>2001</v>
      </c>
      <c r="H78">
        <v>7</v>
      </c>
      <c r="I78">
        <v>0</v>
      </c>
      <c r="J78" t="s">
        <v>30</v>
      </c>
      <c r="K78" s="45" t="s">
        <v>35</v>
      </c>
      <c r="L78">
        <f t="shared" si="18"/>
        <v>2011</v>
      </c>
      <c r="M78" s="15">
        <f t="shared" si="19"/>
        <v>2011.5833333333333</v>
      </c>
      <c r="N78" s="5">
        <v>1996.48</v>
      </c>
      <c r="O78" s="5">
        <f t="shared" si="20"/>
        <v>1996.48</v>
      </c>
      <c r="P78" s="5">
        <f t="shared" si="21"/>
        <v>16.637333333333334</v>
      </c>
      <c r="Q78" s="5">
        <f t="shared" si="22"/>
        <v>199.64800000000002</v>
      </c>
      <c r="R78" s="5">
        <f t="shared" si="23"/>
        <v>0</v>
      </c>
      <c r="S78" s="5">
        <f t="shared" si="24"/>
        <v>1996.48</v>
      </c>
      <c r="T78" s="5">
        <f t="shared" si="25"/>
        <v>1996.48</v>
      </c>
      <c r="U78" s="5">
        <f t="shared" si="26"/>
        <v>0</v>
      </c>
    </row>
    <row r="79" spans="2:21">
      <c r="B79">
        <v>6</v>
      </c>
      <c r="C79" t="s">
        <v>76</v>
      </c>
      <c r="G79">
        <v>2003</v>
      </c>
      <c r="H79">
        <v>5</v>
      </c>
      <c r="I79">
        <v>0</v>
      </c>
      <c r="J79" t="s">
        <v>30</v>
      </c>
      <c r="K79" s="45" t="s">
        <v>35</v>
      </c>
      <c r="L79">
        <f t="shared" si="18"/>
        <v>2013</v>
      </c>
      <c r="M79" s="15">
        <f t="shared" si="19"/>
        <v>2013.4166666666667</v>
      </c>
      <c r="N79" s="5">
        <v>2149.61</v>
      </c>
      <c r="O79" s="5">
        <f t="shared" si="20"/>
        <v>2149.61</v>
      </c>
      <c r="P79" s="5">
        <f t="shared" si="21"/>
        <v>17.913416666666667</v>
      </c>
      <c r="Q79" s="5">
        <f t="shared" si="22"/>
        <v>214.96100000000001</v>
      </c>
      <c r="R79" s="5">
        <f t="shared" si="23"/>
        <v>0</v>
      </c>
      <c r="S79" s="5">
        <f t="shared" si="24"/>
        <v>2149.61</v>
      </c>
      <c r="T79" s="5">
        <f t="shared" si="25"/>
        <v>2149.61</v>
      </c>
      <c r="U79" s="5">
        <f t="shared" si="26"/>
        <v>0</v>
      </c>
    </row>
    <row r="80" spans="2:21">
      <c r="B80">
        <v>6</v>
      </c>
      <c r="C80" t="s">
        <v>76</v>
      </c>
      <c r="G80">
        <v>2005</v>
      </c>
      <c r="H80">
        <v>7</v>
      </c>
      <c r="I80">
        <v>0</v>
      </c>
      <c r="J80" t="s">
        <v>30</v>
      </c>
      <c r="K80" s="45" t="s">
        <v>35</v>
      </c>
      <c r="L80">
        <f t="shared" si="18"/>
        <v>2015</v>
      </c>
      <c r="M80" s="15">
        <f t="shared" si="19"/>
        <v>2015.5833333333333</v>
      </c>
      <c r="N80" s="5">
        <v>2197.7600000000002</v>
      </c>
      <c r="O80" s="5">
        <f t="shared" si="20"/>
        <v>2197.7600000000002</v>
      </c>
      <c r="P80" s="5">
        <f t="shared" si="21"/>
        <v>18.314666666666668</v>
      </c>
      <c r="Q80" s="5">
        <f t="shared" si="22"/>
        <v>219.77600000000001</v>
      </c>
      <c r="R80" s="5">
        <f t="shared" si="23"/>
        <v>0</v>
      </c>
      <c r="S80" s="5">
        <f t="shared" si="24"/>
        <v>2197.7600000000002</v>
      </c>
      <c r="T80" s="5">
        <f t="shared" si="25"/>
        <v>2197.7600000000002</v>
      </c>
      <c r="U80" s="5">
        <f t="shared" si="26"/>
        <v>0</v>
      </c>
    </row>
    <row r="81" spans="2:21">
      <c r="B81">
        <v>7</v>
      </c>
      <c r="C81" t="s">
        <v>76</v>
      </c>
      <c r="G81">
        <v>2002</v>
      </c>
      <c r="H81">
        <v>7</v>
      </c>
      <c r="I81">
        <v>0</v>
      </c>
      <c r="J81" t="s">
        <v>30</v>
      </c>
      <c r="K81" s="45" t="s">
        <v>35</v>
      </c>
      <c r="L81">
        <f t="shared" si="18"/>
        <v>2012</v>
      </c>
      <c r="M81" s="15">
        <f t="shared" si="19"/>
        <v>2012.5833333333333</v>
      </c>
      <c r="N81" s="5">
        <v>2246.7199999999998</v>
      </c>
      <c r="O81" s="5">
        <f t="shared" si="20"/>
        <v>2246.7199999999998</v>
      </c>
      <c r="P81" s="5">
        <f t="shared" si="21"/>
        <v>18.722666666666665</v>
      </c>
      <c r="Q81" s="5">
        <f t="shared" si="22"/>
        <v>224.67199999999997</v>
      </c>
      <c r="R81" s="5">
        <f t="shared" si="23"/>
        <v>0</v>
      </c>
      <c r="S81" s="5">
        <f t="shared" si="24"/>
        <v>2246.7199999999998</v>
      </c>
      <c r="T81" s="5">
        <f t="shared" si="25"/>
        <v>2246.7199999999998</v>
      </c>
      <c r="U81" s="5">
        <f t="shared" si="26"/>
        <v>0</v>
      </c>
    </row>
    <row r="82" spans="2:21">
      <c r="B82">
        <v>8</v>
      </c>
      <c r="C82" t="s">
        <v>76</v>
      </c>
      <c r="G82">
        <v>2002</v>
      </c>
      <c r="H82">
        <v>7</v>
      </c>
      <c r="I82">
        <v>0</v>
      </c>
      <c r="J82" t="s">
        <v>30</v>
      </c>
      <c r="K82" s="45" t="s">
        <v>35</v>
      </c>
      <c r="L82">
        <f t="shared" si="18"/>
        <v>2012</v>
      </c>
      <c r="M82" s="15">
        <f t="shared" si="19"/>
        <v>2012.5833333333333</v>
      </c>
      <c r="N82" s="5">
        <v>2728.7</v>
      </c>
      <c r="O82" s="5">
        <f t="shared" si="20"/>
        <v>2728.7</v>
      </c>
      <c r="P82" s="5">
        <f t="shared" si="21"/>
        <v>22.739166666666666</v>
      </c>
      <c r="Q82" s="5">
        <f t="shared" si="22"/>
        <v>272.87</v>
      </c>
      <c r="R82" s="5">
        <f t="shared" si="23"/>
        <v>0</v>
      </c>
      <c r="S82" s="5">
        <f t="shared" si="24"/>
        <v>2728.7</v>
      </c>
      <c r="T82" s="5">
        <f t="shared" si="25"/>
        <v>2728.7</v>
      </c>
      <c r="U82" s="5">
        <f t="shared" si="26"/>
        <v>0</v>
      </c>
    </row>
    <row r="83" spans="2:21">
      <c r="B83">
        <v>10</v>
      </c>
      <c r="C83" t="s">
        <v>76</v>
      </c>
      <c r="G83">
        <v>2005</v>
      </c>
      <c r="H83">
        <v>7</v>
      </c>
      <c r="I83">
        <v>0</v>
      </c>
      <c r="J83" t="s">
        <v>30</v>
      </c>
      <c r="K83" s="45" t="s">
        <v>35</v>
      </c>
      <c r="L83">
        <f t="shared" si="18"/>
        <v>2015</v>
      </c>
      <c r="M83" s="15">
        <f t="shared" si="19"/>
        <v>2015.5833333333333</v>
      </c>
      <c r="N83" s="5">
        <v>3309.7</v>
      </c>
      <c r="O83" s="5">
        <f t="shared" si="20"/>
        <v>3309.7</v>
      </c>
      <c r="P83" s="5">
        <f t="shared" si="21"/>
        <v>27.580833333333331</v>
      </c>
      <c r="Q83" s="5">
        <f t="shared" si="22"/>
        <v>330.96999999999997</v>
      </c>
      <c r="R83" s="5">
        <f t="shared" si="23"/>
        <v>0</v>
      </c>
      <c r="S83" s="5">
        <f t="shared" si="24"/>
        <v>3309.7</v>
      </c>
      <c r="T83" s="5">
        <f t="shared" si="25"/>
        <v>3309.7</v>
      </c>
      <c r="U83" s="5">
        <f t="shared" si="26"/>
        <v>0</v>
      </c>
    </row>
    <row r="84" spans="2:21">
      <c r="B84">
        <v>11</v>
      </c>
      <c r="C84" t="s">
        <v>76</v>
      </c>
      <c r="G84">
        <v>2001</v>
      </c>
      <c r="H84">
        <v>3</v>
      </c>
      <c r="I84">
        <v>0</v>
      </c>
      <c r="J84" t="s">
        <v>30</v>
      </c>
      <c r="K84" s="45" t="s">
        <v>35</v>
      </c>
      <c r="L84">
        <f t="shared" si="18"/>
        <v>2011</v>
      </c>
      <c r="M84" s="15">
        <f t="shared" si="19"/>
        <v>2011.25</v>
      </c>
      <c r="N84" s="5">
        <v>3801</v>
      </c>
      <c r="O84" s="5">
        <f t="shared" si="20"/>
        <v>3801</v>
      </c>
      <c r="P84" s="5">
        <f t="shared" si="21"/>
        <v>31.675000000000001</v>
      </c>
      <c r="Q84" s="5">
        <f t="shared" si="22"/>
        <v>380.1</v>
      </c>
      <c r="R84" s="5">
        <f t="shared" si="23"/>
        <v>0</v>
      </c>
      <c r="S84" s="5">
        <f t="shared" si="24"/>
        <v>3801</v>
      </c>
      <c r="T84" s="5">
        <f t="shared" si="25"/>
        <v>3801</v>
      </c>
      <c r="U84" s="5">
        <f t="shared" si="26"/>
        <v>0</v>
      </c>
    </row>
    <row r="85" spans="2:21">
      <c r="B85">
        <v>12</v>
      </c>
      <c r="C85" t="s">
        <v>76</v>
      </c>
      <c r="G85">
        <v>2001</v>
      </c>
      <c r="H85">
        <v>3</v>
      </c>
      <c r="I85">
        <v>0</v>
      </c>
      <c r="J85" t="s">
        <v>30</v>
      </c>
      <c r="K85" s="45" t="s">
        <v>35</v>
      </c>
      <c r="L85">
        <f t="shared" si="18"/>
        <v>2011</v>
      </c>
      <c r="M85" s="15">
        <f t="shared" si="19"/>
        <v>2011.25</v>
      </c>
      <c r="N85" s="5">
        <v>4213.68</v>
      </c>
      <c r="O85" s="5">
        <f t="shared" si="20"/>
        <v>4213.68</v>
      </c>
      <c r="P85" s="5">
        <f t="shared" si="21"/>
        <v>35.114000000000004</v>
      </c>
      <c r="Q85" s="5">
        <f t="shared" si="22"/>
        <v>421.36800000000005</v>
      </c>
      <c r="R85" s="5">
        <f t="shared" si="23"/>
        <v>0</v>
      </c>
      <c r="S85" s="5">
        <f t="shared" si="24"/>
        <v>4213.68</v>
      </c>
      <c r="T85" s="5">
        <f t="shared" si="25"/>
        <v>4213.68</v>
      </c>
      <c r="U85" s="5">
        <f t="shared" si="26"/>
        <v>0</v>
      </c>
    </row>
    <row r="86" spans="2:21">
      <c r="B86">
        <v>13</v>
      </c>
      <c r="C86" t="s">
        <v>76</v>
      </c>
      <c r="G86">
        <v>2001</v>
      </c>
      <c r="H86">
        <v>11</v>
      </c>
      <c r="I86">
        <v>0</v>
      </c>
      <c r="J86" t="s">
        <v>30</v>
      </c>
      <c r="K86" s="45" t="s">
        <v>35</v>
      </c>
      <c r="L86">
        <f t="shared" si="18"/>
        <v>2011</v>
      </c>
      <c r="M86" s="15">
        <f t="shared" si="19"/>
        <v>2011.9166666666667</v>
      </c>
      <c r="N86" s="5">
        <v>4439.04</v>
      </c>
      <c r="O86" s="5">
        <f t="shared" si="20"/>
        <v>4439.04</v>
      </c>
      <c r="P86" s="5">
        <f t="shared" si="21"/>
        <v>36.991999999999997</v>
      </c>
      <c r="Q86" s="5">
        <f t="shared" si="22"/>
        <v>443.904</v>
      </c>
      <c r="R86" s="5">
        <f t="shared" si="23"/>
        <v>0</v>
      </c>
      <c r="S86" s="5">
        <f t="shared" si="24"/>
        <v>4439.04</v>
      </c>
      <c r="T86" s="5">
        <f t="shared" si="25"/>
        <v>4439.04</v>
      </c>
      <c r="U86" s="5">
        <f t="shared" si="26"/>
        <v>0</v>
      </c>
    </row>
    <row r="87" spans="2:21">
      <c r="B87">
        <v>14</v>
      </c>
      <c r="C87" t="s">
        <v>76</v>
      </c>
      <c r="G87">
        <v>2004</v>
      </c>
      <c r="H87">
        <v>5</v>
      </c>
      <c r="I87">
        <v>0</v>
      </c>
      <c r="J87" t="s">
        <v>30</v>
      </c>
      <c r="K87" s="45" t="s">
        <v>35</v>
      </c>
      <c r="L87">
        <f t="shared" si="18"/>
        <v>2014</v>
      </c>
      <c r="M87" s="15">
        <f t="shared" si="19"/>
        <v>2014.4166666666667</v>
      </c>
      <c r="N87" s="5">
        <v>4841.6000000000004</v>
      </c>
      <c r="O87" s="5">
        <f t="shared" si="20"/>
        <v>4841.6000000000004</v>
      </c>
      <c r="P87" s="5">
        <f t="shared" si="21"/>
        <v>40.346666666666671</v>
      </c>
      <c r="Q87" s="5">
        <f t="shared" si="22"/>
        <v>484.16000000000008</v>
      </c>
      <c r="R87" s="5">
        <f t="shared" si="23"/>
        <v>0</v>
      </c>
      <c r="S87" s="5">
        <f t="shared" si="24"/>
        <v>4841.6000000000004</v>
      </c>
      <c r="T87" s="5">
        <f t="shared" si="25"/>
        <v>4841.6000000000004</v>
      </c>
      <c r="U87" s="5">
        <f t="shared" si="26"/>
        <v>0</v>
      </c>
    </row>
    <row r="88" spans="2:21">
      <c r="B88">
        <v>15</v>
      </c>
      <c r="C88" t="s">
        <v>76</v>
      </c>
      <c r="G88">
        <v>2004</v>
      </c>
      <c r="H88">
        <v>3</v>
      </c>
      <c r="I88">
        <v>0</v>
      </c>
      <c r="J88" t="s">
        <v>30</v>
      </c>
      <c r="K88" s="45" t="s">
        <v>35</v>
      </c>
      <c r="L88">
        <f t="shared" si="18"/>
        <v>2014</v>
      </c>
      <c r="M88" s="15">
        <f t="shared" si="19"/>
        <v>2014.25</v>
      </c>
      <c r="N88" s="5">
        <v>5189.76</v>
      </c>
      <c r="O88" s="5">
        <f t="shared" si="20"/>
        <v>5189.76</v>
      </c>
      <c r="P88" s="5">
        <f t="shared" si="21"/>
        <v>43.247999999999998</v>
      </c>
      <c r="Q88" s="5">
        <f t="shared" si="22"/>
        <v>518.976</v>
      </c>
      <c r="R88" s="5">
        <f t="shared" si="23"/>
        <v>0</v>
      </c>
      <c r="S88" s="5">
        <f t="shared" si="24"/>
        <v>5189.76</v>
      </c>
      <c r="T88" s="5">
        <f t="shared" si="25"/>
        <v>5189.76</v>
      </c>
      <c r="U88" s="5">
        <f t="shared" si="26"/>
        <v>0</v>
      </c>
    </row>
    <row r="89" spans="2:21">
      <c r="B89">
        <v>16</v>
      </c>
      <c r="C89" t="s">
        <v>76</v>
      </c>
      <c r="G89">
        <v>2004</v>
      </c>
      <c r="H89">
        <v>3</v>
      </c>
      <c r="I89">
        <v>0</v>
      </c>
      <c r="J89" t="s">
        <v>30</v>
      </c>
      <c r="K89" s="45" t="s">
        <v>35</v>
      </c>
      <c r="L89">
        <f t="shared" si="18"/>
        <v>2014</v>
      </c>
      <c r="M89" s="15">
        <f t="shared" si="19"/>
        <v>2014.25</v>
      </c>
      <c r="N89" s="5">
        <v>5444.35</v>
      </c>
      <c r="O89" s="5">
        <f t="shared" si="20"/>
        <v>5444.35</v>
      </c>
      <c r="P89" s="5">
        <f t="shared" si="21"/>
        <v>45.369583333333338</v>
      </c>
      <c r="Q89" s="5">
        <f t="shared" si="22"/>
        <v>544.43500000000006</v>
      </c>
      <c r="R89" s="5">
        <f t="shared" si="23"/>
        <v>0</v>
      </c>
      <c r="S89" s="5">
        <f t="shared" si="24"/>
        <v>5444.35</v>
      </c>
      <c r="T89" s="5">
        <f t="shared" si="25"/>
        <v>5444.35</v>
      </c>
      <c r="U89" s="5">
        <f t="shared" si="26"/>
        <v>0</v>
      </c>
    </row>
    <row r="90" spans="2:21">
      <c r="B90">
        <v>16</v>
      </c>
      <c r="C90" t="s">
        <v>76</v>
      </c>
      <c r="G90">
        <v>2005</v>
      </c>
      <c r="H90">
        <v>10</v>
      </c>
      <c r="I90">
        <v>0</v>
      </c>
      <c r="J90" t="s">
        <v>30</v>
      </c>
      <c r="K90" s="45" t="s">
        <v>35</v>
      </c>
      <c r="L90">
        <f t="shared" si="18"/>
        <v>2015</v>
      </c>
      <c r="M90" s="15">
        <f t="shared" si="19"/>
        <v>2015.8333333333333</v>
      </c>
      <c r="N90" s="5">
        <v>5490.81</v>
      </c>
      <c r="O90" s="5">
        <f t="shared" si="20"/>
        <v>5490.81</v>
      </c>
      <c r="P90" s="5">
        <f t="shared" si="21"/>
        <v>45.756750000000004</v>
      </c>
      <c r="Q90" s="5">
        <f t="shared" si="22"/>
        <v>549.08100000000002</v>
      </c>
      <c r="R90" s="5">
        <f t="shared" si="23"/>
        <v>0</v>
      </c>
      <c r="S90" s="5">
        <f t="shared" si="24"/>
        <v>5490.81</v>
      </c>
      <c r="T90" s="5">
        <f t="shared" si="25"/>
        <v>5490.81</v>
      </c>
      <c r="U90" s="5">
        <f t="shared" si="26"/>
        <v>0</v>
      </c>
    </row>
    <row r="91" spans="2:21">
      <c r="B91">
        <v>52</v>
      </c>
      <c r="C91" t="s">
        <v>76</v>
      </c>
      <c r="G91">
        <v>2005</v>
      </c>
      <c r="H91">
        <v>10</v>
      </c>
      <c r="I91">
        <v>0</v>
      </c>
      <c r="J91" t="s">
        <v>30</v>
      </c>
      <c r="K91" s="45" t="s">
        <v>35</v>
      </c>
      <c r="L91">
        <f t="shared" si="18"/>
        <v>2015</v>
      </c>
      <c r="M91" s="15">
        <f t="shared" si="19"/>
        <v>2015.8333333333333</v>
      </c>
      <c r="N91" s="5">
        <v>17582.080000000002</v>
      </c>
      <c r="O91" s="5">
        <f t="shared" si="20"/>
        <v>17582.080000000002</v>
      </c>
      <c r="P91" s="5">
        <f t="shared" si="21"/>
        <v>146.51733333333334</v>
      </c>
      <c r="Q91" s="5">
        <f t="shared" si="22"/>
        <v>1758.2080000000001</v>
      </c>
      <c r="R91" s="5">
        <f t="shared" si="23"/>
        <v>0</v>
      </c>
      <c r="S91" s="5">
        <f t="shared" si="24"/>
        <v>17582.080000000002</v>
      </c>
      <c r="T91" s="5">
        <f t="shared" si="25"/>
        <v>17582.080000000002</v>
      </c>
      <c r="U91" s="5">
        <f t="shared" si="26"/>
        <v>0</v>
      </c>
    </row>
    <row r="92" spans="2:21">
      <c r="B92">
        <v>58</v>
      </c>
      <c r="C92" t="s">
        <v>76</v>
      </c>
      <c r="G92">
        <v>2005</v>
      </c>
      <c r="H92">
        <v>5</v>
      </c>
      <c r="I92">
        <v>0</v>
      </c>
      <c r="J92" t="s">
        <v>30</v>
      </c>
      <c r="K92" s="45" t="s">
        <v>35</v>
      </c>
      <c r="L92">
        <f t="shared" si="18"/>
        <v>2015</v>
      </c>
      <c r="M92" s="15">
        <f t="shared" si="19"/>
        <v>2015.4166666666667</v>
      </c>
      <c r="N92" s="5">
        <v>19623.169999999998</v>
      </c>
      <c r="O92" s="5">
        <f t="shared" si="20"/>
        <v>19623.169999999998</v>
      </c>
      <c r="P92" s="5">
        <f t="shared" si="21"/>
        <v>163.52641666666665</v>
      </c>
      <c r="Q92" s="5">
        <f t="shared" si="22"/>
        <v>1962.3169999999998</v>
      </c>
      <c r="R92" s="5">
        <f t="shared" si="23"/>
        <v>0</v>
      </c>
      <c r="S92" s="5">
        <f t="shared" si="24"/>
        <v>19623.169999999998</v>
      </c>
      <c r="T92" s="5">
        <f t="shared" si="25"/>
        <v>19623.169999999998</v>
      </c>
      <c r="U92" s="5">
        <f t="shared" si="26"/>
        <v>0</v>
      </c>
    </row>
    <row r="93" spans="2:21">
      <c r="B93">
        <v>20</v>
      </c>
      <c r="C93" t="s">
        <v>77</v>
      </c>
      <c r="G93">
        <v>1998</v>
      </c>
      <c r="H93">
        <v>5</v>
      </c>
      <c r="I93">
        <v>0</v>
      </c>
      <c r="J93" t="s">
        <v>30</v>
      </c>
      <c r="K93" s="45" t="s">
        <v>35</v>
      </c>
      <c r="L93">
        <f t="shared" si="18"/>
        <v>2008</v>
      </c>
      <c r="M93" s="15">
        <f t="shared" si="19"/>
        <v>2008.4166666666667</v>
      </c>
      <c r="N93" s="5">
        <v>7992.96</v>
      </c>
      <c r="O93" s="5">
        <f t="shared" si="20"/>
        <v>7992.96</v>
      </c>
      <c r="P93" s="5">
        <f t="shared" si="21"/>
        <v>66.608000000000004</v>
      </c>
      <c r="Q93" s="5">
        <f t="shared" si="22"/>
        <v>799.29600000000005</v>
      </c>
      <c r="R93" s="5">
        <f t="shared" si="23"/>
        <v>0</v>
      </c>
      <c r="S93" s="5">
        <f t="shared" si="24"/>
        <v>7992.96</v>
      </c>
      <c r="T93" s="5">
        <f t="shared" si="25"/>
        <v>7992.96</v>
      </c>
      <c r="U93" s="5">
        <f t="shared" si="26"/>
        <v>0</v>
      </c>
    </row>
    <row r="94" spans="2:21">
      <c r="B94">
        <v>24</v>
      </c>
      <c r="C94" t="s">
        <v>1110</v>
      </c>
      <c r="E94">
        <v>215453</v>
      </c>
      <c r="G94">
        <v>2019</v>
      </c>
      <c r="H94">
        <v>5</v>
      </c>
      <c r="I94">
        <v>0</v>
      </c>
      <c r="J94" t="s">
        <v>30</v>
      </c>
      <c r="K94" s="45">
        <v>12</v>
      </c>
      <c r="L94">
        <f t="shared" si="18"/>
        <v>2031</v>
      </c>
      <c r="M94" s="15">
        <f t="shared" si="19"/>
        <v>2031.4166666666667</v>
      </c>
      <c r="N94" s="5">
        <v>15299.16</v>
      </c>
      <c r="O94" s="5">
        <f t="shared" si="20"/>
        <v>15299.16</v>
      </c>
      <c r="P94" s="5">
        <f t="shared" si="21"/>
        <v>106.24416666666667</v>
      </c>
      <c r="Q94" s="5">
        <f t="shared" si="22"/>
        <v>1274.93</v>
      </c>
      <c r="R94" s="5">
        <f t="shared" si="23"/>
        <v>1274.93</v>
      </c>
      <c r="S94" s="5">
        <f t="shared" si="24"/>
        <v>0</v>
      </c>
      <c r="T94" s="5">
        <f t="shared" si="25"/>
        <v>1274.93</v>
      </c>
      <c r="U94" s="5">
        <f t="shared" si="26"/>
        <v>14024.23</v>
      </c>
    </row>
    <row r="95" spans="2:21">
      <c r="B95">
        <f>19+4+10+2</f>
        <v>35</v>
      </c>
      <c r="C95" t="s">
        <v>682</v>
      </c>
      <c r="E95" t="s">
        <v>683</v>
      </c>
      <c r="G95">
        <v>2013</v>
      </c>
      <c r="H95">
        <v>8</v>
      </c>
      <c r="I95">
        <v>0</v>
      </c>
      <c r="J95" t="s">
        <v>30</v>
      </c>
      <c r="K95" s="45">
        <v>12</v>
      </c>
      <c r="L95">
        <f t="shared" si="18"/>
        <v>2025</v>
      </c>
      <c r="M95" s="15">
        <f t="shared" si="19"/>
        <v>2025.6666666666667</v>
      </c>
      <c r="N95" s="5">
        <f>9819.2+2067.2+4134.4+1033.6</f>
        <v>17054.400000000001</v>
      </c>
      <c r="O95" s="5">
        <f t="shared" si="20"/>
        <v>17054.400000000001</v>
      </c>
      <c r="P95" s="5">
        <f t="shared" si="21"/>
        <v>118.43333333333334</v>
      </c>
      <c r="Q95" s="5">
        <f t="shared" si="22"/>
        <v>1421.2</v>
      </c>
      <c r="R95" s="5">
        <f t="shared" si="23"/>
        <v>1421.2</v>
      </c>
      <c r="S95" s="5">
        <f t="shared" si="24"/>
        <v>7106</v>
      </c>
      <c r="T95" s="5">
        <f t="shared" si="25"/>
        <v>8527.2000000000007</v>
      </c>
      <c r="U95" s="5">
        <f t="shared" si="26"/>
        <v>8527.2000000000007</v>
      </c>
    </row>
    <row r="96" spans="2:21">
      <c r="B96">
        <v>24</v>
      </c>
      <c r="C96" t="s">
        <v>849</v>
      </c>
      <c r="E96">
        <v>181672</v>
      </c>
      <c r="G96">
        <v>2017</v>
      </c>
      <c r="H96">
        <v>4</v>
      </c>
      <c r="I96">
        <v>0</v>
      </c>
      <c r="J96" t="s">
        <v>30</v>
      </c>
      <c r="K96" s="45">
        <v>7</v>
      </c>
      <c r="L96">
        <f t="shared" si="18"/>
        <v>2024</v>
      </c>
      <c r="M96" s="15">
        <f t="shared" si="19"/>
        <v>2024.3333333333333</v>
      </c>
      <c r="N96" s="5">
        <v>13828.86</v>
      </c>
      <c r="O96" s="5">
        <f t="shared" si="20"/>
        <v>13828.86</v>
      </c>
      <c r="P96" s="5">
        <f t="shared" si="21"/>
        <v>164.62928571428571</v>
      </c>
      <c r="Q96" s="5">
        <f t="shared" si="22"/>
        <v>1975.5514285714285</v>
      </c>
      <c r="R96" s="5">
        <f t="shared" si="23"/>
        <v>1975.5514285714285</v>
      </c>
      <c r="S96" s="5">
        <f t="shared" si="24"/>
        <v>1975.5514285714285</v>
      </c>
      <c r="T96" s="5">
        <f t="shared" si="25"/>
        <v>3951.1028571428569</v>
      </c>
      <c r="U96" s="5">
        <f t="shared" si="26"/>
        <v>9877.7571428571428</v>
      </c>
    </row>
    <row r="97" spans="2:21">
      <c r="B97">
        <v>32</v>
      </c>
      <c r="C97" t="s">
        <v>849</v>
      </c>
      <c r="E97">
        <v>172666</v>
      </c>
      <c r="G97">
        <v>2017</v>
      </c>
      <c r="H97">
        <v>1</v>
      </c>
      <c r="I97">
        <v>0</v>
      </c>
      <c r="J97" t="s">
        <v>30</v>
      </c>
      <c r="K97" s="45">
        <v>7</v>
      </c>
      <c r="L97">
        <f t="shared" si="18"/>
        <v>2024</v>
      </c>
      <c r="M97" s="15">
        <f t="shared" si="19"/>
        <v>2024.0833333333333</v>
      </c>
      <c r="N97" s="5">
        <v>17985.71</v>
      </c>
      <c r="O97" s="5">
        <f t="shared" si="20"/>
        <v>17985.71</v>
      </c>
      <c r="P97" s="5">
        <f t="shared" si="21"/>
        <v>214.11559523809524</v>
      </c>
      <c r="Q97" s="5">
        <f t="shared" si="22"/>
        <v>2569.3871428571429</v>
      </c>
      <c r="R97" s="5">
        <f t="shared" si="23"/>
        <v>2569.3871428571429</v>
      </c>
      <c r="S97" s="5">
        <f t="shared" si="24"/>
        <v>2569.3871428571429</v>
      </c>
      <c r="T97" s="5">
        <f t="shared" si="25"/>
        <v>5138.7742857142857</v>
      </c>
      <c r="U97" s="5">
        <f t="shared" si="26"/>
        <v>12846.935714285713</v>
      </c>
    </row>
    <row r="98" spans="2:21">
      <c r="B98">
        <v>3</v>
      </c>
      <c r="C98" t="s">
        <v>823</v>
      </c>
      <c r="E98">
        <v>133364</v>
      </c>
      <c r="G98">
        <v>2016</v>
      </c>
      <c r="H98">
        <v>5</v>
      </c>
      <c r="I98">
        <v>0</v>
      </c>
      <c r="J98" t="s">
        <v>30</v>
      </c>
      <c r="K98" s="45">
        <v>7</v>
      </c>
      <c r="L98">
        <f t="shared" si="18"/>
        <v>2023</v>
      </c>
      <c r="M98" s="15">
        <f t="shared" si="19"/>
        <v>2023.4166666666667</v>
      </c>
      <c r="N98" s="5">
        <v>1715.95</v>
      </c>
      <c r="O98" s="5">
        <f t="shared" si="20"/>
        <v>1715.95</v>
      </c>
      <c r="P98" s="5">
        <f t="shared" si="21"/>
        <v>20.427976190476191</v>
      </c>
      <c r="Q98" s="5">
        <f t="shared" si="22"/>
        <v>245.1357142857143</v>
      </c>
      <c r="R98" s="5">
        <f t="shared" si="23"/>
        <v>245.1357142857143</v>
      </c>
      <c r="S98" s="5">
        <f t="shared" si="24"/>
        <v>490.2714285714286</v>
      </c>
      <c r="T98" s="5">
        <f t="shared" si="25"/>
        <v>735.40714285714284</v>
      </c>
      <c r="U98" s="5">
        <f t="shared" si="26"/>
        <v>980.5428571428572</v>
      </c>
    </row>
    <row r="99" spans="2:21">
      <c r="B99">
        <v>39</v>
      </c>
      <c r="C99" t="s">
        <v>823</v>
      </c>
      <c r="E99">
        <v>132889</v>
      </c>
      <c r="G99">
        <v>2016</v>
      </c>
      <c r="H99">
        <v>5</v>
      </c>
      <c r="I99">
        <v>0</v>
      </c>
      <c r="J99" t="s">
        <v>30</v>
      </c>
      <c r="K99" s="45">
        <v>7</v>
      </c>
      <c r="L99">
        <f t="shared" si="18"/>
        <v>2023</v>
      </c>
      <c r="M99" s="15">
        <f t="shared" si="19"/>
        <v>2023.4166666666667</v>
      </c>
      <c r="N99" s="5">
        <v>22307.26</v>
      </c>
      <c r="O99" s="5">
        <f t="shared" si="20"/>
        <v>22307.26</v>
      </c>
      <c r="P99" s="5">
        <f t="shared" si="21"/>
        <v>265.56261904761902</v>
      </c>
      <c r="Q99" s="5">
        <f t="shared" si="22"/>
        <v>3186.7514285714283</v>
      </c>
      <c r="R99" s="5">
        <f t="shared" si="23"/>
        <v>3186.7514285714283</v>
      </c>
      <c r="S99" s="5">
        <f t="shared" si="24"/>
        <v>6373.5028571428566</v>
      </c>
      <c r="T99" s="5">
        <f t="shared" si="25"/>
        <v>9560.2542857142853</v>
      </c>
      <c r="U99" s="5">
        <f t="shared" si="26"/>
        <v>12747.005714285713</v>
      </c>
    </row>
    <row r="100" spans="2:21">
      <c r="B100">
        <v>36</v>
      </c>
      <c r="C100" t="s">
        <v>823</v>
      </c>
      <c r="E100">
        <v>185868</v>
      </c>
      <c r="G100">
        <v>2017</v>
      </c>
      <c r="H100">
        <v>7</v>
      </c>
      <c r="I100">
        <v>0</v>
      </c>
      <c r="J100" t="s">
        <v>30</v>
      </c>
      <c r="K100" s="45">
        <v>7</v>
      </c>
      <c r="L100">
        <f t="shared" si="18"/>
        <v>2024</v>
      </c>
      <c r="M100" s="15">
        <f t="shared" si="19"/>
        <v>2024.5833333333333</v>
      </c>
      <c r="N100" s="5">
        <v>22809.35</v>
      </c>
      <c r="O100" s="5">
        <f t="shared" si="20"/>
        <v>22809.35</v>
      </c>
      <c r="P100" s="5">
        <f t="shared" si="21"/>
        <v>271.53988095238094</v>
      </c>
      <c r="Q100" s="5">
        <f t="shared" si="22"/>
        <v>3258.4785714285713</v>
      </c>
      <c r="R100" s="5">
        <f t="shared" si="23"/>
        <v>3258.4785714285713</v>
      </c>
      <c r="S100" s="5">
        <f t="shared" si="24"/>
        <v>3258.4785714285713</v>
      </c>
      <c r="T100" s="5">
        <f t="shared" si="25"/>
        <v>6516.9571428571426</v>
      </c>
      <c r="U100" s="5">
        <f t="shared" si="26"/>
        <v>16292.392857142855</v>
      </c>
    </row>
    <row r="101" spans="2:21">
      <c r="B101">
        <v>41</v>
      </c>
      <c r="C101" t="s">
        <v>823</v>
      </c>
      <c r="E101">
        <v>130994</v>
      </c>
      <c r="G101">
        <v>2016</v>
      </c>
      <c r="H101">
        <v>1</v>
      </c>
      <c r="I101">
        <v>0</v>
      </c>
      <c r="J101" t="s">
        <v>30</v>
      </c>
      <c r="K101" s="45">
        <v>7</v>
      </c>
      <c r="L101">
        <f t="shared" si="18"/>
        <v>2023</v>
      </c>
      <c r="M101" s="15">
        <f t="shared" si="19"/>
        <v>2023.0833333333333</v>
      </c>
      <c r="N101" s="5">
        <v>23454.97</v>
      </c>
      <c r="O101" s="5">
        <f t="shared" si="20"/>
        <v>23454.97</v>
      </c>
      <c r="P101" s="5">
        <f t="shared" si="21"/>
        <v>279.22583333333336</v>
      </c>
      <c r="Q101" s="5">
        <f t="shared" si="22"/>
        <v>3350.71</v>
      </c>
      <c r="R101" s="5">
        <f t="shared" si="23"/>
        <v>3350.71</v>
      </c>
      <c r="S101" s="5">
        <f t="shared" si="24"/>
        <v>6701.42</v>
      </c>
      <c r="T101" s="5">
        <f t="shared" si="25"/>
        <v>10052.130000000001</v>
      </c>
      <c r="U101" s="5">
        <f t="shared" si="26"/>
        <v>13402.84</v>
      </c>
    </row>
    <row r="102" spans="2:21">
      <c r="B102">
        <v>66</v>
      </c>
      <c r="C102" t="s">
        <v>823</v>
      </c>
      <c r="E102">
        <v>165690</v>
      </c>
      <c r="G102">
        <v>2016</v>
      </c>
      <c r="H102">
        <v>5</v>
      </c>
      <c r="I102">
        <v>0</v>
      </c>
      <c r="J102" t="s">
        <v>30</v>
      </c>
      <c r="K102" s="45">
        <v>7</v>
      </c>
      <c r="L102">
        <f t="shared" si="18"/>
        <v>2023</v>
      </c>
      <c r="M102" s="15">
        <f t="shared" si="19"/>
        <v>2023.4166666666667</v>
      </c>
      <c r="N102" s="5">
        <v>39173.440000000002</v>
      </c>
      <c r="O102" s="5">
        <f t="shared" si="20"/>
        <v>39173.440000000002</v>
      </c>
      <c r="P102" s="5">
        <f t="shared" si="21"/>
        <v>466.35047619047623</v>
      </c>
      <c r="Q102" s="5">
        <f t="shared" si="22"/>
        <v>5596.2057142857147</v>
      </c>
      <c r="R102" s="5">
        <f t="shared" si="23"/>
        <v>5596.2057142857147</v>
      </c>
      <c r="S102" s="5">
        <f t="shared" si="24"/>
        <v>11192.411428571429</v>
      </c>
      <c r="T102" s="5">
        <f t="shared" si="25"/>
        <v>16788.617142857143</v>
      </c>
      <c r="U102" s="5">
        <f t="shared" si="26"/>
        <v>22384.822857142859</v>
      </c>
    </row>
    <row r="103" spans="2:21">
      <c r="B103">
        <v>6</v>
      </c>
      <c r="C103" t="s">
        <v>78</v>
      </c>
      <c r="G103">
        <v>2007</v>
      </c>
      <c r="H103">
        <v>6</v>
      </c>
      <c r="I103">
        <v>0</v>
      </c>
      <c r="J103" t="s">
        <v>30</v>
      </c>
      <c r="K103" s="45" t="s">
        <v>35</v>
      </c>
      <c r="L103">
        <f t="shared" si="18"/>
        <v>2017</v>
      </c>
      <c r="M103" s="15">
        <f t="shared" si="19"/>
        <v>2017.5</v>
      </c>
      <c r="N103" s="5">
        <v>1914.46</v>
      </c>
      <c r="O103" s="5">
        <f t="shared" si="20"/>
        <v>1914.46</v>
      </c>
      <c r="P103" s="5">
        <f t="shared" si="21"/>
        <v>15.953833333333334</v>
      </c>
      <c r="Q103" s="5">
        <f t="shared" si="22"/>
        <v>191.446</v>
      </c>
      <c r="R103" s="5">
        <f t="shared" si="23"/>
        <v>0</v>
      </c>
      <c r="S103" s="5">
        <f t="shared" si="24"/>
        <v>1914.46</v>
      </c>
      <c r="T103" s="5">
        <f t="shared" si="25"/>
        <v>1914.46</v>
      </c>
      <c r="U103" s="5">
        <f t="shared" si="26"/>
        <v>0</v>
      </c>
    </row>
    <row r="104" spans="2:21">
      <c r="B104">
        <v>13</v>
      </c>
      <c r="C104" t="s">
        <v>78</v>
      </c>
      <c r="G104">
        <v>2000</v>
      </c>
      <c r="H104">
        <v>5</v>
      </c>
      <c r="I104">
        <v>0</v>
      </c>
      <c r="J104" t="s">
        <v>30</v>
      </c>
      <c r="K104" s="45" t="s">
        <v>35</v>
      </c>
      <c r="L104">
        <f t="shared" si="18"/>
        <v>2010</v>
      </c>
      <c r="M104" s="15">
        <f t="shared" si="19"/>
        <v>2010.4166666666667</v>
      </c>
      <c r="N104" s="5">
        <v>4587.26</v>
      </c>
      <c r="O104" s="5">
        <f t="shared" si="20"/>
        <v>4587.26</v>
      </c>
      <c r="P104" s="5">
        <f t="shared" si="21"/>
        <v>38.227166666666669</v>
      </c>
      <c r="Q104" s="5">
        <f t="shared" si="22"/>
        <v>458.726</v>
      </c>
      <c r="R104" s="5">
        <f t="shared" si="23"/>
        <v>0</v>
      </c>
      <c r="S104" s="5">
        <f t="shared" si="24"/>
        <v>4587.26</v>
      </c>
      <c r="T104" s="5">
        <f t="shared" si="25"/>
        <v>4587.26</v>
      </c>
      <c r="U104" s="5">
        <f t="shared" si="26"/>
        <v>0</v>
      </c>
    </row>
    <row r="105" spans="2:21">
      <c r="B105">
        <v>15</v>
      </c>
      <c r="C105" t="s">
        <v>78</v>
      </c>
      <c r="G105">
        <v>2004</v>
      </c>
      <c r="H105">
        <v>3</v>
      </c>
      <c r="I105">
        <v>0</v>
      </c>
      <c r="J105" t="s">
        <v>30</v>
      </c>
      <c r="K105" s="45" t="s">
        <v>35</v>
      </c>
      <c r="L105">
        <f t="shared" si="18"/>
        <v>2014</v>
      </c>
      <c r="M105" s="15">
        <f t="shared" si="19"/>
        <v>2014.25</v>
      </c>
      <c r="N105" s="5">
        <v>5052.67</v>
      </c>
      <c r="O105" s="5">
        <f t="shared" si="20"/>
        <v>5052.67</v>
      </c>
      <c r="P105" s="5">
        <f t="shared" si="21"/>
        <v>42.105583333333335</v>
      </c>
      <c r="Q105" s="5">
        <f t="shared" si="22"/>
        <v>505.26700000000005</v>
      </c>
      <c r="R105" s="5">
        <f t="shared" si="23"/>
        <v>0</v>
      </c>
      <c r="S105" s="5">
        <f t="shared" si="24"/>
        <v>5052.67</v>
      </c>
      <c r="T105" s="5">
        <f t="shared" si="25"/>
        <v>5052.67</v>
      </c>
      <c r="U105" s="5">
        <f t="shared" si="26"/>
        <v>0</v>
      </c>
    </row>
    <row r="106" spans="2:21">
      <c r="B106">
        <v>16</v>
      </c>
      <c r="C106" t="s">
        <v>78</v>
      </c>
      <c r="G106">
        <v>2004</v>
      </c>
      <c r="H106">
        <v>6</v>
      </c>
      <c r="I106">
        <v>0</v>
      </c>
      <c r="J106" t="s">
        <v>30</v>
      </c>
      <c r="K106" s="45" t="s">
        <v>35</v>
      </c>
      <c r="L106">
        <f t="shared" si="18"/>
        <v>2014</v>
      </c>
      <c r="M106" s="15">
        <f t="shared" si="19"/>
        <v>2014.5</v>
      </c>
      <c r="N106" s="5">
        <v>5352.96</v>
      </c>
      <c r="O106" s="5">
        <f t="shared" si="20"/>
        <v>5352.96</v>
      </c>
      <c r="P106" s="5">
        <f t="shared" si="21"/>
        <v>44.608000000000004</v>
      </c>
      <c r="Q106" s="5">
        <f t="shared" si="22"/>
        <v>535.29600000000005</v>
      </c>
      <c r="R106" s="5">
        <f t="shared" si="23"/>
        <v>0</v>
      </c>
      <c r="S106" s="5">
        <f t="shared" si="24"/>
        <v>5352.96</v>
      </c>
      <c r="T106" s="5">
        <f t="shared" si="25"/>
        <v>5352.96</v>
      </c>
      <c r="U106" s="5">
        <f t="shared" si="26"/>
        <v>0</v>
      </c>
    </row>
    <row r="107" spans="2:21">
      <c r="B107">
        <v>16</v>
      </c>
      <c r="C107" t="s">
        <v>78</v>
      </c>
      <c r="G107">
        <v>2005</v>
      </c>
      <c r="H107">
        <v>5</v>
      </c>
      <c r="I107">
        <v>0</v>
      </c>
      <c r="J107" t="s">
        <v>30</v>
      </c>
      <c r="K107" s="45" t="s">
        <v>35</v>
      </c>
      <c r="L107">
        <f t="shared" si="18"/>
        <v>2015</v>
      </c>
      <c r="M107" s="15">
        <f t="shared" si="19"/>
        <v>2015.4166666666667</v>
      </c>
      <c r="N107" s="5">
        <v>5450.88</v>
      </c>
      <c r="O107" s="5">
        <f t="shared" si="20"/>
        <v>5450.88</v>
      </c>
      <c r="P107" s="5">
        <f t="shared" si="21"/>
        <v>45.423999999999999</v>
      </c>
      <c r="Q107" s="5">
        <f t="shared" si="22"/>
        <v>545.08799999999997</v>
      </c>
      <c r="R107" s="5">
        <f t="shared" si="23"/>
        <v>0</v>
      </c>
      <c r="S107" s="5">
        <f t="shared" si="24"/>
        <v>5450.88</v>
      </c>
      <c r="T107" s="5">
        <f t="shared" si="25"/>
        <v>5450.88</v>
      </c>
      <c r="U107" s="5">
        <f t="shared" si="26"/>
        <v>0</v>
      </c>
    </row>
    <row r="108" spans="2:21">
      <c r="B108">
        <v>19</v>
      </c>
      <c r="C108" t="s">
        <v>78</v>
      </c>
      <c r="G108">
        <v>2005</v>
      </c>
      <c r="H108">
        <v>5</v>
      </c>
      <c r="I108">
        <v>0</v>
      </c>
      <c r="J108" t="s">
        <v>30</v>
      </c>
      <c r="K108" s="45" t="s">
        <v>35</v>
      </c>
      <c r="L108">
        <f t="shared" si="18"/>
        <v>2015</v>
      </c>
      <c r="M108" s="15">
        <f t="shared" si="19"/>
        <v>2015.4166666666667</v>
      </c>
      <c r="N108" s="5">
        <v>6541.06</v>
      </c>
      <c r="O108" s="5">
        <f t="shared" si="20"/>
        <v>6541.06</v>
      </c>
      <c r="P108" s="5">
        <f t="shared" si="21"/>
        <v>54.508833333333335</v>
      </c>
      <c r="Q108" s="5">
        <f t="shared" si="22"/>
        <v>654.10599999999999</v>
      </c>
      <c r="R108" s="5">
        <f t="shared" si="23"/>
        <v>0</v>
      </c>
      <c r="S108" s="5">
        <f t="shared" si="24"/>
        <v>6541.06</v>
      </c>
      <c r="T108" s="5">
        <f t="shared" si="25"/>
        <v>6541.06</v>
      </c>
      <c r="U108" s="5">
        <f t="shared" si="26"/>
        <v>0</v>
      </c>
    </row>
    <row r="109" spans="2:21">
      <c r="B109">
        <v>21</v>
      </c>
      <c r="C109" t="s">
        <v>78</v>
      </c>
      <c r="G109">
        <v>2004</v>
      </c>
      <c r="H109">
        <v>8</v>
      </c>
      <c r="I109">
        <v>0</v>
      </c>
      <c r="J109" t="s">
        <v>30</v>
      </c>
      <c r="K109" s="45" t="s">
        <v>35</v>
      </c>
      <c r="L109">
        <f t="shared" si="18"/>
        <v>2014</v>
      </c>
      <c r="M109" s="15">
        <f t="shared" si="19"/>
        <v>2014.6666666666667</v>
      </c>
      <c r="N109" s="5">
        <v>7180.8</v>
      </c>
      <c r="O109" s="5">
        <f t="shared" si="20"/>
        <v>7180.8</v>
      </c>
      <c r="P109" s="5">
        <f t="shared" si="21"/>
        <v>59.84</v>
      </c>
      <c r="Q109" s="5">
        <f t="shared" si="22"/>
        <v>718.08</v>
      </c>
      <c r="R109" s="5">
        <f t="shared" si="23"/>
        <v>0</v>
      </c>
      <c r="S109" s="5">
        <f t="shared" si="24"/>
        <v>7180.8</v>
      </c>
      <c r="T109" s="5">
        <f t="shared" si="25"/>
        <v>7180.8</v>
      </c>
      <c r="U109" s="5">
        <f t="shared" si="26"/>
        <v>0</v>
      </c>
    </row>
    <row r="110" spans="2:21">
      <c r="B110">
        <v>23</v>
      </c>
      <c r="C110" t="s">
        <v>78</v>
      </c>
      <c r="G110">
        <v>2000</v>
      </c>
      <c r="H110">
        <v>9</v>
      </c>
      <c r="I110">
        <v>0</v>
      </c>
      <c r="J110" t="s">
        <v>30</v>
      </c>
      <c r="K110" s="45" t="s">
        <v>35</v>
      </c>
      <c r="L110">
        <f t="shared" si="18"/>
        <v>2010</v>
      </c>
      <c r="M110" s="15">
        <f t="shared" si="19"/>
        <v>2010.75</v>
      </c>
      <c r="N110" s="5">
        <v>7971.24</v>
      </c>
      <c r="O110" s="5">
        <f t="shared" si="20"/>
        <v>7971.24</v>
      </c>
      <c r="P110" s="5">
        <f t="shared" si="21"/>
        <v>66.427000000000007</v>
      </c>
      <c r="Q110" s="5">
        <f t="shared" si="22"/>
        <v>797.12400000000002</v>
      </c>
      <c r="R110" s="5">
        <f t="shared" si="23"/>
        <v>0</v>
      </c>
      <c r="S110" s="5">
        <f t="shared" si="24"/>
        <v>7971.24</v>
      </c>
      <c r="T110" s="5">
        <f t="shared" si="25"/>
        <v>7971.24</v>
      </c>
      <c r="U110" s="5">
        <f t="shared" si="26"/>
        <v>0</v>
      </c>
    </row>
    <row r="111" spans="2:21">
      <c r="B111">
        <v>27</v>
      </c>
      <c r="C111" t="s">
        <v>78</v>
      </c>
      <c r="G111">
        <v>2004</v>
      </c>
      <c r="H111">
        <v>7</v>
      </c>
      <c r="I111">
        <v>0</v>
      </c>
      <c r="J111" t="s">
        <v>30</v>
      </c>
      <c r="K111" s="45" t="s">
        <v>35</v>
      </c>
      <c r="L111">
        <f t="shared" si="18"/>
        <v>2014</v>
      </c>
      <c r="M111" s="15">
        <f t="shared" si="19"/>
        <v>2014.5833333333333</v>
      </c>
      <c r="N111" s="5">
        <v>9302.4</v>
      </c>
      <c r="O111" s="5">
        <f t="shared" si="20"/>
        <v>9302.4</v>
      </c>
      <c r="P111" s="5">
        <f t="shared" si="21"/>
        <v>77.52</v>
      </c>
      <c r="Q111" s="5">
        <f t="shared" si="22"/>
        <v>930.24</v>
      </c>
      <c r="R111" s="5">
        <f t="shared" si="23"/>
        <v>0</v>
      </c>
      <c r="S111" s="5">
        <f t="shared" si="24"/>
        <v>9302.4</v>
      </c>
      <c r="T111" s="5">
        <f t="shared" si="25"/>
        <v>9302.4</v>
      </c>
      <c r="U111" s="5">
        <f t="shared" si="26"/>
        <v>0</v>
      </c>
    </row>
    <row r="112" spans="2:21">
      <c r="B112">
        <v>29</v>
      </c>
      <c r="C112" t="s">
        <v>78</v>
      </c>
      <c r="G112">
        <v>2000</v>
      </c>
      <c r="H112">
        <v>5</v>
      </c>
      <c r="I112">
        <v>0</v>
      </c>
      <c r="J112" t="s">
        <v>30</v>
      </c>
      <c r="K112" s="45" t="s">
        <v>35</v>
      </c>
      <c r="L112">
        <f t="shared" si="18"/>
        <v>2010</v>
      </c>
      <c r="M112" s="15">
        <f t="shared" si="19"/>
        <v>2010.4166666666667</v>
      </c>
      <c r="N112" s="5">
        <v>9964.0499999999993</v>
      </c>
      <c r="O112" s="5">
        <f t="shared" si="20"/>
        <v>9964.0499999999993</v>
      </c>
      <c r="P112" s="5">
        <f t="shared" si="21"/>
        <v>83.033749999999998</v>
      </c>
      <c r="Q112" s="5">
        <f t="shared" si="22"/>
        <v>996.40499999999997</v>
      </c>
      <c r="R112" s="5">
        <f t="shared" si="23"/>
        <v>0</v>
      </c>
      <c r="S112" s="5">
        <f t="shared" si="24"/>
        <v>9964.0499999999993</v>
      </c>
      <c r="T112" s="5">
        <f t="shared" si="25"/>
        <v>9964.0499999999993</v>
      </c>
      <c r="U112" s="5">
        <f t="shared" si="26"/>
        <v>0</v>
      </c>
    </row>
    <row r="113" spans="2:21">
      <c r="B113">
        <v>33</v>
      </c>
      <c r="C113" t="s">
        <v>78</v>
      </c>
      <c r="G113">
        <v>2004</v>
      </c>
      <c r="H113">
        <v>7</v>
      </c>
      <c r="I113">
        <v>0</v>
      </c>
      <c r="J113" t="s">
        <v>30</v>
      </c>
      <c r="K113" s="45" t="s">
        <v>35</v>
      </c>
      <c r="L113">
        <f t="shared" si="18"/>
        <v>2014</v>
      </c>
      <c r="M113" s="15">
        <f t="shared" si="19"/>
        <v>2014.5833333333333</v>
      </c>
      <c r="N113" s="5">
        <v>11175.94</v>
      </c>
      <c r="O113" s="5">
        <f t="shared" si="20"/>
        <v>11175.94</v>
      </c>
      <c r="P113" s="5">
        <f t="shared" si="21"/>
        <v>93.132833333333338</v>
      </c>
      <c r="Q113" s="5">
        <f t="shared" si="22"/>
        <v>1117.5940000000001</v>
      </c>
      <c r="R113" s="5">
        <f t="shared" si="23"/>
        <v>0</v>
      </c>
      <c r="S113" s="5">
        <f t="shared" si="24"/>
        <v>11175.94</v>
      </c>
      <c r="T113" s="5">
        <f t="shared" si="25"/>
        <v>11175.94</v>
      </c>
      <c r="U113" s="5">
        <f t="shared" si="26"/>
        <v>0</v>
      </c>
    </row>
    <row r="114" spans="2:21">
      <c r="B114">
        <v>37</v>
      </c>
      <c r="C114" t="s">
        <v>78</v>
      </c>
      <c r="G114">
        <v>2008</v>
      </c>
      <c r="H114">
        <v>1</v>
      </c>
      <c r="I114">
        <v>0</v>
      </c>
      <c r="J114" t="s">
        <v>30</v>
      </c>
      <c r="K114" s="45" t="s">
        <v>35</v>
      </c>
      <c r="L114">
        <f t="shared" si="18"/>
        <v>2018</v>
      </c>
      <c r="M114" s="15">
        <f t="shared" si="19"/>
        <v>2018.0833333333333</v>
      </c>
      <c r="N114" s="5">
        <v>12455.98</v>
      </c>
      <c r="O114" s="5">
        <f t="shared" si="20"/>
        <v>12455.98</v>
      </c>
      <c r="P114" s="5">
        <f t="shared" si="21"/>
        <v>103.79983333333332</v>
      </c>
      <c r="Q114" s="5">
        <f t="shared" si="22"/>
        <v>1245.598</v>
      </c>
      <c r="R114" s="5">
        <f t="shared" si="23"/>
        <v>0</v>
      </c>
      <c r="S114" s="5">
        <f t="shared" si="24"/>
        <v>12455.98</v>
      </c>
      <c r="T114" s="5">
        <f t="shared" si="25"/>
        <v>12455.98</v>
      </c>
      <c r="U114" s="5">
        <f t="shared" si="26"/>
        <v>0</v>
      </c>
    </row>
    <row r="115" spans="2:21">
      <c r="B115">
        <v>47</v>
      </c>
      <c r="C115" t="s">
        <v>78</v>
      </c>
      <c r="G115">
        <v>2008</v>
      </c>
      <c r="H115">
        <v>1</v>
      </c>
      <c r="I115">
        <v>0</v>
      </c>
      <c r="J115" t="s">
        <v>30</v>
      </c>
      <c r="K115" s="45" t="s">
        <v>35</v>
      </c>
      <c r="L115">
        <f t="shared" si="18"/>
        <v>2018</v>
      </c>
      <c r="M115" s="15">
        <f t="shared" si="19"/>
        <v>2018.0833333333333</v>
      </c>
      <c r="N115" s="5">
        <v>16047.51</v>
      </c>
      <c r="O115" s="5">
        <f t="shared" si="20"/>
        <v>16047.51</v>
      </c>
      <c r="P115" s="5">
        <f t="shared" si="21"/>
        <v>133.72925000000001</v>
      </c>
      <c r="Q115" s="5">
        <f t="shared" si="22"/>
        <v>1604.7510000000002</v>
      </c>
      <c r="R115" s="5">
        <f t="shared" si="23"/>
        <v>0</v>
      </c>
      <c r="S115" s="5">
        <f t="shared" si="24"/>
        <v>16047.51</v>
      </c>
      <c r="T115" s="5">
        <f t="shared" si="25"/>
        <v>16047.51</v>
      </c>
      <c r="U115" s="5">
        <f t="shared" si="26"/>
        <v>0</v>
      </c>
    </row>
    <row r="116" spans="2:21">
      <c r="B116">
        <v>45</v>
      </c>
      <c r="C116" t="s">
        <v>78</v>
      </c>
      <c r="E116">
        <v>87416</v>
      </c>
      <c r="G116">
        <v>2011</v>
      </c>
      <c r="H116">
        <v>10</v>
      </c>
      <c r="I116">
        <v>0</v>
      </c>
      <c r="J116" t="s">
        <v>30</v>
      </c>
      <c r="K116" s="45">
        <v>12</v>
      </c>
      <c r="L116">
        <f t="shared" si="18"/>
        <v>2023</v>
      </c>
      <c r="M116" s="15">
        <f t="shared" si="19"/>
        <v>2023.8333333333333</v>
      </c>
      <c r="N116" s="5">
        <v>23953.1</v>
      </c>
      <c r="O116" s="5">
        <f t="shared" si="20"/>
        <v>23953.1</v>
      </c>
      <c r="P116" s="5">
        <f t="shared" si="21"/>
        <v>166.34097222222221</v>
      </c>
      <c r="Q116" s="5">
        <f t="shared" si="22"/>
        <v>1996.0916666666665</v>
      </c>
      <c r="R116" s="5">
        <f t="shared" si="23"/>
        <v>1996.0916666666665</v>
      </c>
      <c r="S116" s="5">
        <f t="shared" si="24"/>
        <v>13972.641666666665</v>
      </c>
      <c r="T116" s="5">
        <f t="shared" si="25"/>
        <v>15968.733333333332</v>
      </c>
      <c r="U116" s="5">
        <f t="shared" si="26"/>
        <v>7984.3666666666668</v>
      </c>
    </row>
    <row r="117" spans="2:21">
      <c r="B117">
        <v>74</v>
      </c>
      <c r="C117" t="s">
        <v>78</v>
      </c>
      <c r="G117">
        <v>2008</v>
      </c>
      <c r="H117">
        <v>5</v>
      </c>
      <c r="I117">
        <v>0</v>
      </c>
      <c r="J117" t="s">
        <v>30</v>
      </c>
      <c r="K117" s="45" t="s">
        <v>35</v>
      </c>
      <c r="L117">
        <f t="shared" si="18"/>
        <v>2018</v>
      </c>
      <c r="M117" s="15">
        <f t="shared" si="19"/>
        <v>2018.4166666666667</v>
      </c>
      <c r="N117" s="5">
        <v>25157.200000000001</v>
      </c>
      <c r="O117" s="5">
        <f t="shared" si="20"/>
        <v>25157.200000000001</v>
      </c>
      <c r="P117" s="5">
        <f t="shared" si="21"/>
        <v>209.64333333333335</v>
      </c>
      <c r="Q117" s="5">
        <f t="shared" si="22"/>
        <v>2515.7200000000003</v>
      </c>
      <c r="R117" s="5">
        <f t="shared" si="23"/>
        <v>0</v>
      </c>
      <c r="S117" s="5">
        <f t="shared" si="24"/>
        <v>25157.200000000001</v>
      </c>
      <c r="T117" s="5">
        <f t="shared" si="25"/>
        <v>25157.200000000001</v>
      </c>
      <c r="U117" s="5">
        <f t="shared" si="26"/>
        <v>0</v>
      </c>
    </row>
    <row r="118" spans="2:21">
      <c r="B118">
        <v>10</v>
      </c>
      <c r="C118" t="s">
        <v>80</v>
      </c>
      <c r="G118">
        <v>1998</v>
      </c>
      <c r="H118">
        <v>10</v>
      </c>
      <c r="I118">
        <v>0</v>
      </c>
      <c r="J118" t="s">
        <v>30</v>
      </c>
      <c r="K118" s="45" t="s">
        <v>35</v>
      </c>
      <c r="L118">
        <f t="shared" si="18"/>
        <v>2008</v>
      </c>
      <c r="M118" s="15">
        <f t="shared" si="19"/>
        <v>2008.8333333333333</v>
      </c>
      <c r="N118" s="5">
        <v>4170.24</v>
      </c>
      <c r="O118" s="5">
        <f t="shared" si="20"/>
        <v>4170.24</v>
      </c>
      <c r="P118" s="5">
        <f t="shared" si="21"/>
        <v>34.752000000000002</v>
      </c>
      <c r="Q118" s="5">
        <f t="shared" si="22"/>
        <v>417.024</v>
      </c>
      <c r="R118" s="5">
        <f t="shared" si="23"/>
        <v>0</v>
      </c>
      <c r="S118" s="5">
        <f t="shared" si="24"/>
        <v>4170.24</v>
      </c>
      <c r="T118" s="5">
        <f t="shared" si="25"/>
        <v>4170.24</v>
      </c>
      <c r="U118" s="5">
        <f t="shared" si="26"/>
        <v>0</v>
      </c>
    </row>
    <row r="119" spans="2:21">
      <c r="B119">
        <v>24</v>
      </c>
      <c r="C119" t="s">
        <v>1109</v>
      </c>
      <c r="E119">
        <v>215452</v>
      </c>
      <c r="G119">
        <v>2019</v>
      </c>
      <c r="H119">
        <v>5</v>
      </c>
      <c r="I119">
        <v>0</v>
      </c>
      <c r="J119" t="s">
        <v>30</v>
      </c>
      <c r="K119" s="45">
        <v>12</v>
      </c>
      <c r="L119">
        <f t="shared" si="18"/>
        <v>2031</v>
      </c>
      <c r="M119" s="15">
        <f t="shared" si="19"/>
        <v>2031.4166666666667</v>
      </c>
      <c r="N119" s="5">
        <v>15194.23</v>
      </c>
      <c r="O119" s="5">
        <f t="shared" si="20"/>
        <v>15194.23</v>
      </c>
      <c r="P119" s="5">
        <f t="shared" si="21"/>
        <v>105.5154861111111</v>
      </c>
      <c r="Q119" s="5">
        <f t="shared" si="22"/>
        <v>1266.1858333333332</v>
      </c>
      <c r="R119" s="5">
        <f t="shared" si="23"/>
        <v>1266.1858333333332</v>
      </c>
      <c r="S119" s="5">
        <f t="shared" si="24"/>
        <v>0</v>
      </c>
      <c r="T119" s="5">
        <f t="shared" si="25"/>
        <v>1266.1858333333332</v>
      </c>
      <c r="U119" s="5">
        <f t="shared" si="26"/>
        <v>13928.044166666667</v>
      </c>
    </row>
    <row r="120" spans="2:21">
      <c r="B120">
        <f>36+54</f>
        <v>90</v>
      </c>
      <c r="C120" t="s">
        <v>1109</v>
      </c>
      <c r="E120" t="s">
        <v>1133</v>
      </c>
      <c r="G120">
        <v>2019</v>
      </c>
      <c r="H120">
        <v>10</v>
      </c>
      <c r="I120">
        <v>0</v>
      </c>
      <c r="J120" t="s">
        <v>30</v>
      </c>
      <c r="K120" s="45">
        <v>12</v>
      </c>
      <c r="L120">
        <f t="shared" ref="L120:L143" si="27">G120+K120</f>
        <v>2031</v>
      </c>
      <c r="M120" s="15">
        <f t="shared" ref="M120:M143" si="28">+L120+(H120/12)</f>
        <v>2031.8333333333333</v>
      </c>
      <c r="N120" s="5">
        <f>34652.76+23490.76</f>
        <v>58143.520000000004</v>
      </c>
      <c r="O120" s="5">
        <f t="shared" ref="O120:O143" si="29">N120-N120*I120</f>
        <v>58143.520000000004</v>
      </c>
      <c r="P120" s="5">
        <f t="shared" ref="P120:P143" si="30">O120/K120/12</f>
        <v>403.7744444444445</v>
      </c>
      <c r="Q120" s="5">
        <f t="shared" ref="Q120:Q143" si="31">P120*12</f>
        <v>4845.293333333334</v>
      </c>
      <c r="R120" s="5">
        <f t="shared" ref="R120:R143" si="32">+IF(M120&lt;=$O$5,0,IF(L120&gt;$O$4,Q120,(P120*H120)))</f>
        <v>4845.293333333334</v>
      </c>
      <c r="S120" s="5">
        <f t="shared" ref="S120:S143" si="33">+IF(R120=0,N120,IF($O$3-G120&lt;1,0,(($O$3-G120)*Q120)))</f>
        <v>0</v>
      </c>
      <c r="T120" s="5">
        <f t="shared" ref="T120:T143" si="34">+IF(R120=0,S120,S120+R120)</f>
        <v>4845.293333333334</v>
      </c>
      <c r="U120" s="5">
        <f t="shared" ref="U120:U143" si="35">+N120-T120</f>
        <v>53298.226666666669</v>
      </c>
    </row>
    <row r="121" spans="2:21">
      <c r="B121">
        <v>16</v>
      </c>
      <c r="C121" t="s">
        <v>851</v>
      </c>
      <c r="E121">
        <v>185323</v>
      </c>
      <c r="G121">
        <v>2017</v>
      </c>
      <c r="H121">
        <v>8</v>
      </c>
      <c r="I121">
        <v>0</v>
      </c>
      <c r="J121" t="s">
        <v>30</v>
      </c>
      <c r="K121" s="45">
        <v>7</v>
      </c>
      <c r="L121">
        <f t="shared" si="27"/>
        <v>2024</v>
      </c>
      <c r="M121" s="15">
        <f t="shared" si="28"/>
        <v>2024.6666666666667</v>
      </c>
      <c r="N121" s="5">
        <v>8656.56</v>
      </c>
      <c r="O121" s="5">
        <f t="shared" si="29"/>
        <v>8656.56</v>
      </c>
      <c r="P121" s="5">
        <f t="shared" si="30"/>
        <v>103.05428571428571</v>
      </c>
      <c r="Q121" s="5">
        <f t="shared" si="31"/>
        <v>1236.6514285714286</v>
      </c>
      <c r="R121" s="5">
        <f t="shared" si="32"/>
        <v>1236.6514285714286</v>
      </c>
      <c r="S121" s="5">
        <f t="shared" si="33"/>
        <v>1236.6514285714286</v>
      </c>
      <c r="T121" s="5">
        <f t="shared" si="34"/>
        <v>2473.3028571428572</v>
      </c>
      <c r="U121" s="5">
        <f t="shared" si="35"/>
        <v>6183.2571428571428</v>
      </c>
    </row>
    <row r="122" spans="2:21">
      <c r="B122">
        <v>15</v>
      </c>
      <c r="C122" t="s">
        <v>655</v>
      </c>
      <c r="E122">
        <v>95704</v>
      </c>
      <c r="G122">
        <v>2012</v>
      </c>
      <c r="H122">
        <v>8</v>
      </c>
      <c r="I122">
        <v>0</v>
      </c>
      <c r="J122" t="s">
        <v>30</v>
      </c>
      <c r="K122" s="45">
        <v>12</v>
      </c>
      <c r="L122">
        <f t="shared" si="27"/>
        <v>2024</v>
      </c>
      <c r="M122" s="15">
        <f t="shared" si="28"/>
        <v>2024.6666666666667</v>
      </c>
      <c r="N122" s="5">
        <v>7641.6</v>
      </c>
      <c r="O122" s="5">
        <f t="shared" si="29"/>
        <v>7641.6</v>
      </c>
      <c r="P122" s="5">
        <f t="shared" si="30"/>
        <v>53.06666666666667</v>
      </c>
      <c r="Q122" s="5">
        <f t="shared" si="31"/>
        <v>636.80000000000007</v>
      </c>
      <c r="R122" s="5">
        <f t="shared" si="32"/>
        <v>636.80000000000007</v>
      </c>
      <c r="S122" s="5">
        <f t="shared" si="33"/>
        <v>3820.8</v>
      </c>
      <c r="T122" s="5">
        <f t="shared" si="34"/>
        <v>4457.6000000000004</v>
      </c>
      <c r="U122" s="5">
        <f t="shared" si="35"/>
        <v>3184</v>
      </c>
    </row>
    <row r="123" spans="2:21">
      <c r="B123">
        <v>24</v>
      </c>
      <c r="C123" t="s">
        <v>1051</v>
      </c>
      <c r="E123">
        <v>202809</v>
      </c>
      <c r="G123">
        <v>2018</v>
      </c>
      <c r="H123">
        <v>12</v>
      </c>
      <c r="I123">
        <v>0</v>
      </c>
      <c r="J123" t="s">
        <v>30</v>
      </c>
      <c r="K123" s="45">
        <v>12</v>
      </c>
      <c r="L123">
        <f t="shared" si="27"/>
        <v>2030</v>
      </c>
      <c r="M123" s="15">
        <f t="shared" si="28"/>
        <v>2031</v>
      </c>
      <c r="N123" s="5">
        <v>16328.33</v>
      </c>
      <c r="O123" s="5">
        <f t="shared" si="29"/>
        <v>16328.33</v>
      </c>
      <c r="P123" s="5">
        <f t="shared" si="30"/>
        <v>113.39118055555555</v>
      </c>
      <c r="Q123" s="5">
        <f t="shared" si="31"/>
        <v>1360.6941666666667</v>
      </c>
      <c r="R123" s="5">
        <f t="shared" si="32"/>
        <v>1360.6941666666667</v>
      </c>
      <c r="S123" s="5">
        <f t="shared" si="33"/>
        <v>0</v>
      </c>
      <c r="T123" s="5">
        <f t="shared" si="34"/>
        <v>1360.6941666666667</v>
      </c>
      <c r="U123" s="5">
        <f t="shared" si="35"/>
        <v>14967.635833333334</v>
      </c>
    </row>
    <row r="124" spans="2:21">
      <c r="B124">
        <v>15</v>
      </c>
      <c r="C124" t="s">
        <v>381</v>
      </c>
      <c r="E124">
        <v>75722</v>
      </c>
      <c r="G124">
        <v>2010</v>
      </c>
      <c r="H124">
        <v>6</v>
      </c>
      <c r="I124">
        <v>0</v>
      </c>
      <c r="J124" t="s">
        <v>30</v>
      </c>
      <c r="K124" s="45" t="s">
        <v>35</v>
      </c>
      <c r="L124">
        <f t="shared" si="27"/>
        <v>2020</v>
      </c>
      <c r="M124" s="15">
        <f t="shared" si="28"/>
        <v>2020.5</v>
      </c>
      <c r="N124" s="5">
        <v>10520</v>
      </c>
      <c r="O124" s="5">
        <f t="shared" si="29"/>
        <v>10520</v>
      </c>
      <c r="P124" s="5">
        <f t="shared" si="30"/>
        <v>87.666666666666671</v>
      </c>
      <c r="Q124" s="5">
        <f t="shared" si="31"/>
        <v>1052</v>
      </c>
      <c r="R124" s="5">
        <f t="shared" si="32"/>
        <v>1052</v>
      </c>
      <c r="S124" s="5">
        <f t="shared" si="33"/>
        <v>8416</v>
      </c>
      <c r="T124" s="5">
        <f t="shared" si="34"/>
        <v>9468</v>
      </c>
      <c r="U124" s="5">
        <f t="shared" si="35"/>
        <v>1052</v>
      </c>
    </row>
    <row r="125" spans="2:21">
      <c r="B125">
        <v>13</v>
      </c>
      <c r="C125" t="s">
        <v>653</v>
      </c>
      <c r="E125">
        <v>97727</v>
      </c>
      <c r="G125">
        <v>2012</v>
      </c>
      <c r="H125">
        <v>10</v>
      </c>
      <c r="I125">
        <v>0</v>
      </c>
      <c r="J125" t="s">
        <v>30</v>
      </c>
      <c r="K125" s="45">
        <v>7</v>
      </c>
      <c r="L125">
        <f t="shared" si="27"/>
        <v>2019</v>
      </c>
      <c r="M125" s="15">
        <f t="shared" si="28"/>
        <v>2019.8333333333333</v>
      </c>
      <c r="N125" s="5">
        <v>8795.76</v>
      </c>
      <c r="O125" s="5">
        <f t="shared" si="29"/>
        <v>8795.76</v>
      </c>
      <c r="P125" s="5">
        <f t="shared" si="30"/>
        <v>104.71142857142858</v>
      </c>
      <c r="Q125" s="5">
        <f t="shared" si="31"/>
        <v>1256.537142857143</v>
      </c>
      <c r="R125" s="5">
        <f t="shared" si="32"/>
        <v>1047.1142857142859</v>
      </c>
      <c r="S125" s="5">
        <f t="shared" si="33"/>
        <v>7539.2228571428577</v>
      </c>
      <c r="T125" s="5">
        <f t="shared" si="34"/>
        <v>8586.3371428571445</v>
      </c>
      <c r="U125" s="5">
        <f t="shared" si="35"/>
        <v>209.42285714285572</v>
      </c>
    </row>
    <row r="126" spans="2:21">
      <c r="B126">
        <v>23</v>
      </c>
      <c r="C126" t="s">
        <v>653</v>
      </c>
      <c r="E126">
        <v>97728</v>
      </c>
      <c r="G126">
        <v>2012</v>
      </c>
      <c r="H126">
        <v>10</v>
      </c>
      <c r="I126">
        <v>0</v>
      </c>
      <c r="J126" t="s">
        <v>30</v>
      </c>
      <c r="K126" s="45">
        <v>7</v>
      </c>
      <c r="L126">
        <f t="shared" si="27"/>
        <v>2019</v>
      </c>
      <c r="M126" s="15">
        <f t="shared" si="28"/>
        <v>2019.8333333333333</v>
      </c>
      <c r="N126" s="5">
        <v>14593.96</v>
      </c>
      <c r="O126" s="5">
        <f t="shared" si="29"/>
        <v>14593.96</v>
      </c>
      <c r="P126" s="5">
        <f t="shared" si="30"/>
        <v>173.73761904761906</v>
      </c>
      <c r="Q126" s="5">
        <f t="shared" si="31"/>
        <v>2084.8514285714286</v>
      </c>
      <c r="R126" s="5">
        <f t="shared" si="32"/>
        <v>1737.3761904761907</v>
      </c>
      <c r="S126" s="5">
        <f t="shared" si="33"/>
        <v>12509.108571428573</v>
      </c>
      <c r="T126" s="5">
        <f t="shared" si="34"/>
        <v>14246.484761904763</v>
      </c>
      <c r="U126" s="5">
        <f t="shared" si="35"/>
        <v>347.47523809523591</v>
      </c>
    </row>
    <row r="127" spans="2:21">
      <c r="B127">
        <f>12+24</f>
        <v>36</v>
      </c>
      <c r="C127" t="s">
        <v>653</v>
      </c>
      <c r="E127" t="s">
        <v>709</v>
      </c>
      <c r="G127">
        <v>2014</v>
      </c>
      <c r="H127">
        <v>5</v>
      </c>
      <c r="I127">
        <v>0</v>
      </c>
      <c r="J127" t="s">
        <v>30</v>
      </c>
      <c r="K127" s="45">
        <v>12</v>
      </c>
      <c r="L127">
        <f t="shared" si="27"/>
        <v>2026</v>
      </c>
      <c r="M127" s="15">
        <f t="shared" si="28"/>
        <v>2026.4166666666667</v>
      </c>
      <c r="N127" s="5">
        <f>8573.44+16602.88</f>
        <v>25176.32</v>
      </c>
      <c r="O127" s="5">
        <f t="shared" si="29"/>
        <v>25176.32</v>
      </c>
      <c r="P127" s="5">
        <f t="shared" si="30"/>
        <v>174.83555555555554</v>
      </c>
      <c r="Q127" s="5">
        <f t="shared" si="31"/>
        <v>2098.0266666666666</v>
      </c>
      <c r="R127" s="5">
        <f t="shared" si="32"/>
        <v>2098.0266666666666</v>
      </c>
      <c r="S127" s="5">
        <f t="shared" si="33"/>
        <v>8392.1066666666666</v>
      </c>
      <c r="T127" s="5">
        <f t="shared" si="34"/>
        <v>10490.133333333333</v>
      </c>
      <c r="U127" s="5">
        <f t="shared" si="35"/>
        <v>14686.186666666666</v>
      </c>
    </row>
    <row r="128" spans="2:21">
      <c r="B128">
        <v>150</v>
      </c>
      <c r="C128" t="s">
        <v>93</v>
      </c>
      <c r="E128">
        <v>84456</v>
      </c>
      <c r="G128">
        <v>2011</v>
      </c>
      <c r="H128">
        <v>1</v>
      </c>
      <c r="I128">
        <v>0</v>
      </c>
      <c r="J128" t="s">
        <v>30</v>
      </c>
      <c r="K128" s="45">
        <v>10</v>
      </c>
      <c r="L128">
        <f t="shared" si="27"/>
        <v>2021</v>
      </c>
      <c r="M128" s="15">
        <f t="shared" si="28"/>
        <v>2021.0833333333333</v>
      </c>
      <c r="N128" s="5">
        <v>0</v>
      </c>
      <c r="O128" s="5">
        <f t="shared" si="29"/>
        <v>0</v>
      </c>
      <c r="P128" s="5">
        <f t="shared" si="30"/>
        <v>0</v>
      </c>
      <c r="Q128" s="5">
        <f t="shared" si="31"/>
        <v>0</v>
      </c>
      <c r="R128" s="5">
        <f t="shared" si="32"/>
        <v>0</v>
      </c>
      <c r="S128" s="5">
        <f t="shared" si="33"/>
        <v>0</v>
      </c>
      <c r="T128" s="5">
        <f t="shared" si="34"/>
        <v>0</v>
      </c>
      <c r="U128" s="5">
        <f t="shared" si="35"/>
        <v>0</v>
      </c>
    </row>
    <row r="129" spans="2:21">
      <c r="B129">
        <v>27</v>
      </c>
      <c r="C129" t="s">
        <v>93</v>
      </c>
      <c r="E129" t="s">
        <v>502</v>
      </c>
      <c r="G129">
        <v>2011</v>
      </c>
      <c r="H129">
        <v>6</v>
      </c>
      <c r="I129">
        <v>0</v>
      </c>
      <c r="J129" t="s">
        <v>30</v>
      </c>
      <c r="K129" s="45">
        <v>10</v>
      </c>
      <c r="L129">
        <f t="shared" si="27"/>
        <v>2021</v>
      </c>
      <c r="M129" s="15">
        <f t="shared" si="28"/>
        <v>2021.5</v>
      </c>
      <c r="N129" s="5">
        <f>12881.01+4508.37</f>
        <v>17389.38</v>
      </c>
      <c r="O129" s="5">
        <f t="shared" si="29"/>
        <v>17389.38</v>
      </c>
      <c r="P129" s="5">
        <f t="shared" si="30"/>
        <v>144.91150000000002</v>
      </c>
      <c r="Q129" s="5">
        <f t="shared" si="31"/>
        <v>1738.9380000000001</v>
      </c>
      <c r="R129" s="5">
        <f t="shared" si="32"/>
        <v>1738.9380000000001</v>
      </c>
      <c r="S129" s="5">
        <f t="shared" si="33"/>
        <v>12172.566000000001</v>
      </c>
      <c r="T129" s="5">
        <f t="shared" si="34"/>
        <v>13911.504000000001</v>
      </c>
      <c r="U129" s="5">
        <f t="shared" si="35"/>
        <v>3477.8760000000002</v>
      </c>
    </row>
    <row r="130" spans="2:21">
      <c r="B130">
        <v>3</v>
      </c>
      <c r="C130" t="s">
        <v>94</v>
      </c>
      <c r="G130">
        <v>2005</v>
      </c>
      <c r="H130">
        <v>7</v>
      </c>
      <c r="I130">
        <v>0</v>
      </c>
      <c r="J130" t="s">
        <v>30</v>
      </c>
      <c r="K130" s="45" t="s">
        <v>35</v>
      </c>
      <c r="L130">
        <f t="shared" si="27"/>
        <v>2015</v>
      </c>
      <c r="M130" s="15">
        <f t="shared" si="28"/>
        <v>2015.5833333333333</v>
      </c>
      <c r="N130" s="5">
        <v>1266.43</v>
      </c>
      <c r="O130" s="5">
        <f t="shared" si="29"/>
        <v>1266.43</v>
      </c>
      <c r="P130" s="5">
        <f t="shared" si="30"/>
        <v>10.553583333333334</v>
      </c>
      <c r="Q130" s="5">
        <f t="shared" si="31"/>
        <v>126.643</v>
      </c>
      <c r="R130" s="5">
        <f t="shared" si="32"/>
        <v>0</v>
      </c>
      <c r="S130" s="5">
        <f t="shared" si="33"/>
        <v>1266.43</v>
      </c>
      <c r="T130" s="5">
        <f t="shared" si="34"/>
        <v>1266.43</v>
      </c>
      <c r="U130" s="5">
        <f t="shared" si="35"/>
        <v>0</v>
      </c>
    </row>
    <row r="131" spans="2:21">
      <c r="B131">
        <v>37</v>
      </c>
      <c r="C131" t="s">
        <v>94</v>
      </c>
      <c r="G131">
        <v>2008</v>
      </c>
      <c r="H131">
        <v>4</v>
      </c>
      <c r="I131">
        <v>0</v>
      </c>
      <c r="J131" t="s">
        <v>30</v>
      </c>
      <c r="K131" s="45" t="s">
        <v>35</v>
      </c>
      <c r="L131">
        <f t="shared" si="27"/>
        <v>2018</v>
      </c>
      <c r="M131" s="15">
        <f t="shared" si="28"/>
        <v>2018.3333333333333</v>
      </c>
      <c r="N131" s="5">
        <v>13973.8</v>
      </c>
      <c r="O131" s="5">
        <f t="shared" si="29"/>
        <v>13973.8</v>
      </c>
      <c r="P131" s="5">
        <f t="shared" si="30"/>
        <v>116.44833333333332</v>
      </c>
      <c r="Q131" s="5">
        <f t="shared" si="31"/>
        <v>1397.3799999999999</v>
      </c>
      <c r="R131" s="5">
        <f t="shared" si="32"/>
        <v>0</v>
      </c>
      <c r="S131" s="5">
        <f t="shared" si="33"/>
        <v>13973.8</v>
      </c>
      <c r="T131" s="5">
        <f t="shared" si="34"/>
        <v>13973.8</v>
      </c>
      <c r="U131" s="5">
        <f t="shared" si="35"/>
        <v>0</v>
      </c>
    </row>
    <row r="132" spans="2:21">
      <c r="B132">
        <v>48</v>
      </c>
      <c r="C132" t="s">
        <v>1111</v>
      </c>
      <c r="E132">
        <v>215454</v>
      </c>
      <c r="G132">
        <v>2019</v>
      </c>
      <c r="H132">
        <v>5</v>
      </c>
      <c r="I132">
        <v>0</v>
      </c>
      <c r="J132" t="s">
        <v>30</v>
      </c>
      <c r="K132" s="45">
        <v>12</v>
      </c>
      <c r="L132">
        <f t="shared" si="27"/>
        <v>2031</v>
      </c>
      <c r="M132" s="15">
        <f t="shared" si="28"/>
        <v>2031.4166666666667</v>
      </c>
      <c r="N132" s="5">
        <v>33378.47</v>
      </c>
      <c r="O132" s="5">
        <f t="shared" si="29"/>
        <v>33378.47</v>
      </c>
      <c r="P132" s="5">
        <f t="shared" si="30"/>
        <v>231.79493055555557</v>
      </c>
      <c r="Q132" s="5">
        <f t="shared" si="31"/>
        <v>2781.5391666666669</v>
      </c>
      <c r="R132" s="5">
        <f t="shared" si="32"/>
        <v>2781.5391666666669</v>
      </c>
      <c r="S132" s="5">
        <f t="shared" si="33"/>
        <v>0</v>
      </c>
      <c r="T132" s="5">
        <f t="shared" si="34"/>
        <v>2781.5391666666669</v>
      </c>
      <c r="U132" s="5">
        <f t="shared" si="35"/>
        <v>30596.930833333336</v>
      </c>
    </row>
    <row r="133" spans="2:21">
      <c r="B133">
        <v>19</v>
      </c>
      <c r="C133" t="s">
        <v>96</v>
      </c>
      <c r="G133">
        <v>2007</v>
      </c>
      <c r="H133">
        <v>12</v>
      </c>
      <c r="I133">
        <v>0</v>
      </c>
      <c r="J133" t="s">
        <v>30</v>
      </c>
      <c r="K133" s="45" t="s">
        <v>35</v>
      </c>
      <c r="L133">
        <f t="shared" si="27"/>
        <v>2017</v>
      </c>
      <c r="M133" s="15">
        <f t="shared" si="28"/>
        <v>2018</v>
      </c>
      <c r="N133" s="5">
        <v>7160.15</v>
      </c>
      <c r="O133" s="5">
        <f t="shared" si="29"/>
        <v>7160.15</v>
      </c>
      <c r="P133" s="5">
        <f t="shared" si="30"/>
        <v>59.667916666666663</v>
      </c>
      <c r="Q133" s="5">
        <f t="shared" si="31"/>
        <v>716.01499999999999</v>
      </c>
      <c r="R133" s="5">
        <f t="shared" si="32"/>
        <v>0</v>
      </c>
      <c r="S133" s="5">
        <f t="shared" si="33"/>
        <v>7160.15</v>
      </c>
      <c r="T133" s="5">
        <f t="shared" si="34"/>
        <v>7160.15</v>
      </c>
      <c r="U133" s="5">
        <f t="shared" si="35"/>
        <v>0</v>
      </c>
    </row>
    <row r="134" spans="2:21">
      <c r="B134">
        <v>23</v>
      </c>
      <c r="C134" t="s">
        <v>493</v>
      </c>
      <c r="E134" t="s">
        <v>494</v>
      </c>
      <c r="G134">
        <v>2011</v>
      </c>
      <c r="H134">
        <v>6</v>
      </c>
      <c r="I134">
        <v>0</v>
      </c>
      <c r="J134" t="s">
        <v>30</v>
      </c>
      <c r="K134" s="45">
        <v>10</v>
      </c>
      <c r="L134">
        <f t="shared" si="27"/>
        <v>2021</v>
      </c>
      <c r="M134" s="15">
        <f t="shared" si="28"/>
        <v>2021.5</v>
      </c>
      <c r="N134" s="5">
        <f>1932.17+6440.5+6440.5</f>
        <v>14813.17</v>
      </c>
      <c r="O134" s="5">
        <f t="shared" si="29"/>
        <v>14813.17</v>
      </c>
      <c r="P134" s="5">
        <f t="shared" si="30"/>
        <v>123.44308333333333</v>
      </c>
      <c r="Q134" s="5">
        <f t="shared" si="31"/>
        <v>1481.317</v>
      </c>
      <c r="R134" s="5">
        <f t="shared" si="32"/>
        <v>1481.317</v>
      </c>
      <c r="S134" s="5">
        <f t="shared" si="33"/>
        <v>10369.219000000001</v>
      </c>
      <c r="T134" s="5">
        <f t="shared" si="34"/>
        <v>11850.536</v>
      </c>
      <c r="U134" s="5">
        <f t="shared" si="35"/>
        <v>2962.634</v>
      </c>
    </row>
    <row r="135" spans="2:21">
      <c r="B135">
        <v>36</v>
      </c>
      <c r="C135" t="s">
        <v>833</v>
      </c>
      <c r="E135">
        <v>133568</v>
      </c>
      <c r="G135">
        <v>2016</v>
      </c>
      <c r="H135">
        <v>6</v>
      </c>
      <c r="I135">
        <v>0</v>
      </c>
      <c r="J135" t="s">
        <v>30</v>
      </c>
      <c r="K135" s="45">
        <v>7</v>
      </c>
      <c r="L135">
        <f t="shared" si="27"/>
        <v>2023</v>
      </c>
      <c r="M135" s="15">
        <f t="shared" si="28"/>
        <v>2023.5</v>
      </c>
      <c r="N135" s="5">
        <v>24382.080000000002</v>
      </c>
      <c r="O135" s="5">
        <f t="shared" si="29"/>
        <v>24382.080000000002</v>
      </c>
      <c r="P135" s="5">
        <f t="shared" si="30"/>
        <v>290.26285714285717</v>
      </c>
      <c r="Q135" s="5">
        <f t="shared" si="31"/>
        <v>3483.1542857142858</v>
      </c>
      <c r="R135" s="5">
        <f t="shared" si="32"/>
        <v>3483.1542857142858</v>
      </c>
      <c r="S135" s="5">
        <f t="shared" si="33"/>
        <v>6966.3085714285717</v>
      </c>
      <c r="T135" s="5">
        <f t="shared" si="34"/>
        <v>10449.462857142858</v>
      </c>
      <c r="U135" s="5">
        <f t="shared" si="35"/>
        <v>13932.617142857143</v>
      </c>
    </row>
    <row r="136" spans="2:21">
      <c r="B136">
        <v>24</v>
      </c>
      <c r="C136" t="s">
        <v>1079</v>
      </c>
      <c r="E136">
        <v>207203</v>
      </c>
      <c r="G136">
        <v>2018</v>
      </c>
      <c r="H136">
        <v>10</v>
      </c>
      <c r="I136">
        <v>0</v>
      </c>
      <c r="J136" t="s">
        <v>30</v>
      </c>
      <c r="K136" s="45">
        <v>12</v>
      </c>
      <c r="L136">
        <f t="shared" si="27"/>
        <v>2030</v>
      </c>
      <c r="M136" s="15">
        <f t="shared" si="28"/>
        <v>2030.8333333333333</v>
      </c>
      <c r="N136" s="5">
        <v>17313.12</v>
      </c>
      <c r="O136" s="5">
        <f t="shared" si="29"/>
        <v>17313.12</v>
      </c>
      <c r="P136" s="5">
        <f t="shared" si="30"/>
        <v>120.23</v>
      </c>
      <c r="Q136" s="5">
        <f t="shared" si="31"/>
        <v>1442.76</v>
      </c>
      <c r="R136" s="5">
        <f t="shared" si="32"/>
        <v>1442.76</v>
      </c>
      <c r="S136" s="5">
        <f t="shared" si="33"/>
        <v>0</v>
      </c>
      <c r="T136" s="5">
        <f t="shared" si="34"/>
        <v>1442.76</v>
      </c>
      <c r="U136" s="5">
        <f t="shared" si="35"/>
        <v>15870.359999999999</v>
      </c>
    </row>
    <row r="137" spans="2:21">
      <c r="B137">
        <v>10</v>
      </c>
      <c r="C137" t="s">
        <v>654</v>
      </c>
      <c r="E137">
        <v>97729</v>
      </c>
      <c r="G137">
        <v>2012</v>
      </c>
      <c r="H137">
        <v>10</v>
      </c>
      <c r="I137">
        <v>0</v>
      </c>
      <c r="J137" t="s">
        <v>30</v>
      </c>
      <c r="K137" s="45">
        <v>7</v>
      </c>
      <c r="L137">
        <f t="shared" si="27"/>
        <v>2019</v>
      </c>
      <c r="M137" s="15">
        <f t="shared" si="28"/>
        <v>2019.8333333333333</v>
      </c>
      <c r="N137" s="5">
        <v>7822.1</v>
      </c>
      <c r="O137" s="5">
        <f t="shared" si="29"/>
        <v>7822.1</v>
      </c>
      <c r="P137" s="5">
        <f t="shared" si="30"/>
        <v>93.120238095238108</v>
      </c>
      <c r="Q137" s="5">
        <f t="shared" si="31"/>
        <v>1117.4428571428573</v>
      </c>
      <c r="R137" s="5">
        <f t="shared" si="32"/>
        <v>931.20238095238108</v>
      </c>
      <c r="S137" s="5">
        <f t="shared" si="33"/>
        <v>6704.6571428571442</v>
      </c>
      <c r="T137" s="5">
        <f t="shared" si="34"/>
        <v>7635.8595238095249</v>
      </c>
      <c r="U137" s="5">
        <f t="shared" si="35"/>
        <v>186.24047619047542</v>
      </c>
    </row>
    <row r="138" spans="2:21">
      <c r="B138">
        <v>36</v>
      </c>
      <c r="C138" t="s">
        <v>654</v>
      </c>
      <c r="E138" t="s">
        <v>716</v>
      </c>
      <c r="G138">
        <v>2014</v>
      </c>
      <c r="H138">
        <v>7</v>
      </c>
      <c r="I138">
        <v>0</v>
      </c>
      <c r="J138" t="s">
        <v>30</v>
      </c>
      <c r="K138" s="45">
        <v>12</v>
      </c>
      <c r="L138">
        <f t="shared" si="27"/>
        <v>2026</v>
      </c>
      <c r="M138" s="15">
        <f t="shared" si="28"/>
        <v>2026.5833333333333</v>
      </c>
      <c r="N138" s="5">
        <f>12952.64+16042.56</f>
        <v>28995.199999999997</v>
      </c>
      <c r="O138" s="5">
        <f t="shared" si="29"/>
        <v>28995.199999999997</v>
      </c>
      <c r="P138" s="5">
        <f t="shared" si="30"/>
        <v>201.35555555555553</v>
      </c>
      <c r="Q138" s="5">
        <f t="shared" si="31"/>
        <v>2416.2666666666664</v>
      </c>
      <c r="R138" s="5">
        <f t="shared" si="32"/>
        <v>2416.2666666666664</v>
      </c>
      <c r="S138" s="5">
        <f t="shared" si="33"/>
        <v>9665.0666666666657</v>
      </c>
      <c r="T138" s="5">
        <f t="shared" si="34"/>
        <v>12081.333333333332</v>
      </c>
      <c r="U138" s="5">
        <f t="shared" si="35"/>
        <v>16913.866666666665</v>
      </c>
    </row>
    <row r="139" spans="2:21">
      <c r="B139">
        <v>24</v>
      </c>
      <c r="C139" t="s">
        <v>654</v>
      </c>
      <c r="E139" t="s">
        <v>658</v>
      </c>
      <c r="G139">
        <v>2012</v>
      </c>
      <c r="H139">
        <v>10</v>
      </c>
      <c r="I139">
        <v>0</v>
      </c>
      <c r="J139" t="s">
        <v>30</v>
      </c>
      <c r="K139" s="45">
        <v>7</v>
      </c>
      <c r="L139">
        <f t="shared" si="27"/>
        <v>2019</v>
      </c>
      <c r="M139" s="15">
        <f t="shared" si="28"/>
        <v>2019.8333333333333</v>
      </c>
      <c r="N139" s="5">
        <v>18007</v>
      </c>
      <c r="O139" s="5">
        <f t="shared" si="29"/>
        <v>18007</v>
      </c>
      <c r="P139" s="5">
        <f t="shared" si="30"/>
        <v>214.36904761904762</v>
      </c>
      <c r="Q139" s="5">
        <f t="shared" si="31"/>
        <v>2572.4285714285716</v>
      </c>
      <c r="R139" s="5">
        <f t="shared" si="32"/>
        <v>2143.6904761904761</v>
      </c>
      <c r="S139" s="5">
        <f t="shared" si="33"/>
        <v>15434.571428571429</v>
      </c>
      <c r="T139" s="5">
        <f t="shared" si="34"/>
        <v>17578.261904761905</v>
      </c>
      <c r="U139" s="5">
        <f t="shared" si="35"/>
        <v>428.73809523809541</v>
      </c>
    </row>
    <row r="140" spans="2:21">
      <c r="B140">
        <v>14</v>
      </c>
      <c r="C140" t="s">
        <v>109</v>
      </c>
      <c r="G140">
        <v>2005</v>
      </c>
      <c r="H140">
        <v>5</v>
      </c>
      <c r="I140">
        <v>0</v>
      </c>
      <c r="J140" t="s">
        <v>30</v>
      </c>
      <c r="K140" s="45" t="s">
        <v>35</v>
      </c>
      <c r="L140">
        <f t="shared" si="27"/>
        <v>2015</v>
      </c>
      <c r="M140" s="15">
        <f t="shared" si="28"/>
        <v>2015.4166666666667</v>
      </c>
      <c r="N140" s="5">
        <v>5624.96</v>
      </c>
      <c r="O140" s="5">
        <f t="shared" si="29"/>
        <v>5624.96</v>
      </c>
      <c r="P140" s="5">
        <f t="shared" si="30"/>
        <v>46.874666666666663</v>
      </c>
      <c r="Q140" s="5">
        <f t="shared" si="31"/>
        <v>562.49599999999998</v>
      </c>
      <c r="R140" s="5">
        <f t="shared" si="32"/>
        <v>0</v>
      </c>
      <c r="S140" s="5">
        <f t="shared" si="33"/>
        <v>5624.96</v>
      </c>
      <c r="T140" s="5">
        <f t="shared" si="34"/>
        <v>5624.96</v>
      </c>
      <c r="U140" s="5">
        <f t="shared" si="35"/>
        <v>0</v>
      </c>
    </row>
    <row r="141" spans="2:21">
      <c r="B141">
        <v>187</v>
      </c>
      <c r="C141" t="s">
        <v>110</v>
      </c>
      <c r="E141">
        <v>84457</v>
      </c>
      <c r="G141">
        <v>2011</v>
      </c>
      <c r="H141">
        <v>1</v>
      </c>
      <c r="I141">
        <v>0</v>
      </c>
      <c r="J141" t="s">
        <v>30</v>
      </c>
      <c r="K141" s="45">
        <v>10</v>
      </c>
      <c r="L141">
        <f t="shared" si="27"/>
        <v>2021</v>
      </c>
      <c r="M141" s="15">
        <f t="shared" si="28"/>
        <v>2021.0833333333333</v>
      </c>
      <c r="N141" s="5">
        <v>0</v>
      </c>
      <c r="O141" s="5">
        <f t="shared" si="29"/>
        <v>0</v>
      </c>
      <c r="P141" s="5">
        <f t="shared" si="30"/>
        <v>0</v>
      </c>
      <c r="Q141" s="5">
        <f t="shared" si="31"/>
        <v>0</v>
      </c>
      <c r="R141" s="5">
        <f t="shared" si="32"/>
        <v>0</v>
      </c>
      <c r="S141" s="5">
        <f t="shared" si="33"/>
        <v>0</v>
      </c>
      <c r="T141" s="5">
        <f t="shared" si="34"/>
        <v>0</v>
      </c>
      <c r="U141" s="5">
        <f t="shared" si="35"/>
        <v>0</v>
      </c>
    </row>
    <row r="142" spans="2:21">
      <c r="B142" s="17">
        <v>7</v>
      </c>
      <c r="C142" t="s">
        <v>111</v>
      </c>
      <c r="G142">
        <v>2005</v>
      </c>
      <c r="H142">
        <v>7</v>
      </c>
      <c r="I142">
        <v>0</v>
      </c>
      <c r="J142" t="s">
        <v>30</v>
      </c>
      <c r="K142" s="45" t="s">
        <v>35</v>
      </c>
      <c r="L142">
        <f t="shared" si="27"/>
        <v>2015</v>
      </c>
      <c r="M142" s="15">
        <f t="shared" si="28"/>
        <v>2015.5833333333333</v>
      </c>
      <c r="N142" s="5">
        <v>2815.74</v>
      </c>
      <c r="O142" s="5">
        <f t="shared" si="29"/>
        <v>2815.74</v>
      </c>
      <c r="P142" s="5">
        <f t="shared" si="30"/>
        <v>23.464499999999997</v>
      </c>
      <c r="Q142" s="5">
        <f t="shared" si="31"/>
        <v>281.57399999999996</v>
      </c>
      <c r="R142" s="5">
        <f t="shared" si="32"/>
        <v>0</v>
      </c>
      <c r="S142" s="5">
        <f t="shared" si="33"/>
        <v>2815.74</v>
      </c>
      <c r="T142" s="5">
        <f t="shared" si="34"/>
        <v>2815.74</v>
      </c>
      <c r="U142" s="5">
        <f t="shared" si="35"/>
        <v>0</v>
      </c>
    </row>
    <row r="143" spans="2:21">
      <c r="B143" s="17">
        <v>8</v>
      </c>
      <c r="C143" t="s">
        <v>111</v>
      </c>
      <c r="G143">
        <v>2004</v>
      </c>
      <c r="H143">
        <v>6</v>
      </c>
      <c r="I143">
        <v>0</v>
      </c>
      <c r="J143" t="s">
        <v>30</v>
      </c>
      <c r="K143" s="45" t="s">
        <v>35</v>
      </c>
      <c r="L143">
        <f t="shared" si="27"/>
        <v>2014</v>
      </c>
      <c r="M143" s="15">
        <f t="shared" si="28"/>
        <v>2014.5</v>
      </c>
      <c r="N143" s="5">
        <v>3472.9</v>
      </c>
      <c r="O143" s="5">
        <f t="shared" si="29"/>
        <v>3472.9</v>
      </c>
      <c r="P143" s="5">
        <f t="shared" si="30"/>
        <v>28.940833333333334</v>
      </c>
      <c r="Q143" s="5">
        <f t="shared" si="31"/>
        <v>347.29</v>
      </c>
      <c r="R143" s="5">
        <f t="shared" si="32"/>
        <v>0</v>
      </c>
      <c r="S143" s="5">
        <f t="shared" si="33"/>
        <v>3472.9</v>
      </c>
      <c r="T143" s="5">
        <f t="shared" si="34"/>
        <v>3472.9</v>
      </c>
      <c r="U143" s="5">
        <f t="shared" si="35"/>
        <v>0</v>
      </c>
    </row>
    <row r="144" spans="2:21">
      <c r="B144">
        <v>20</v>
      </c>
      <c r="C144" t="s">
        <v>390</v>
      </c>
      <c r="D144">
        <v>2180</v>
      </c>
      <c r="E144">
        <v>78821</v>
      </c>
      <c r="G144">
        <v>2010</v>
      </c>
      <c r="H144">
        <v>10</v>
      </c>
      <c r="I144">
        <v>0</v>
      </c>
      <c r="J144" t="s">
        <v>30</v>
      </c>
      <c r="K144" s="45" t="s">
        <v>35</v>
      </c>
      <c r="L144">
        <f t="shared" ref="L144:L166" si="36">G144+K144</f>
        <v>2020</v>
      </c>
      <c r="M144" s="15">
        <f t="shared" ref="M144:M166" si="37">+L144+(H144/12)</f>
        <v>2020.8333333333333</v>
      </c>
      <c r="N144" s="5">
        <v>14298.63</v>
      </c>
      <c r="O144" s="5">
        <f t="shared" ref="O144:O166" si="38">N144-N144*I144</f>
        <v>14298.63</v>
      </c>
      <c r="P144" s="5">
        <f t="shared" ref="P144:P166" si="39">O144/K144/12</f>
        <v>119.15524999999998</v>
      </c>
      <c r="Q144" s="5">
        <f t="shared" ref="Q144:Q166" si="40">P144*12</f>
        <v>1429.8629999999998</v>
      </c>
      <c r="R144" s="5">
        <f t="shared" ref="R144:R166" si="41">+IF(M144&lt;=$O$5,0,IF(L144&gt;$O$4,Q144,(P144*H144)))</f>
        <v>1429.8629999999998</v>
      </c>
      <c r="S144" s="5">
        <f t="shared" ref="S144:S166" si="42">+IF(R144=0,N144,IF($O$3-G144&lt;1,0,(($O$3-G144)*Q144)))</f>
        <v>11438.903999999999</v>
      </c>
      <c r="T144" s="5">
        <f t="shared" ref="T144:T166" si="43">+IF(R144=0,S144,S144+R144)</f>
        <v>12868.766999999998</v>
      </c>
      <c r="U144" s="5">
        <f t="shared" ref="U144:U166" si="44">+N144-T144</f>
        <v>1429.8630000000012</v>
      </c>
    </row>
    <row r="145" spans="2:21">
      <c r="B145">
        <v>20</v>
      </c>
      <c r="C145" t="s">
        <v>845</v>
      </c>
      <c r="E145">
        <v>181673</v>
      </c>
      <c r="G145">
        <v>2017</v>
      </c>
      <c r="H145">
        <v>4</v>
      </c>
      <c r="I145">
        <v>0</v>
      </c>
      <c r="J145" t="s">
        <v>30</v>
      </c>
      <c r="K145" s="45">
        <v>7</v>
      </c>
      <c r="L145">
        <f t="shared" si="36"/>
        <v>2024</v>
      </c>
      <c r="M145" s="15">
        <f t="shared" si="37"/>
        <v>2024.3333333333333</v>
      </c>
      <c r="N145" s="5">
        <v>15378.51</v>
      </c>
      <c r="O145" s="5">
        <f t="shared" si="38"/>
        <v>15378.51</v>
      </c>
      <c r="P145" s="5">
        <f t="shared" si="39"/>
        <v>183.07749999999999</v>
      </c>
      <c r="Q145" s="5">
        <f t="shared" si="40"/>
        <v>2196.9299999999998</v>
      </c>
      <c r="R145" s="5">
        <f t="shared" si="41"/>
        <v>2196.9299999999998</v>
      </c>
      <c r="S145" s="5">
        <f t="shared" si="42"/>
        <v>2196.9299999999998</v>
      </c>
      <c r="T145" s="5">
        <f t="shared" si="43"/>
        <v>4393.8599999999997</v>
      </c>
      <c r="U145" s="5">
        <f t="shared" si="44"/>
        <v>10984.650000000001</v>
      </c>
    </row>
    <row r="146" spans="2:21">
      <c r="B146">
        <v>30</v>
      </c>
      <c r="C146" t="s">
        <v>1058</v>
      </c>
      <c r="E146">
        <v>204171</v>
      </c>
      <c r="G146">
        <v>2018</v>
      </c>
      <c r="H146">
        <v>7</v>
      </c>
      <c r="I146">
        <v>0</v>
      </c>
      <c r="J146" t="s">
        <v>30</v>
      </c>
      <c r="K146" s="45">
        <v>12</v>
      </c>
      <c r="L146">
        <f t="shared" si="36"/>
        <v>2030</v>
      </c>
      <c r="M146" s="15">
        <f t="shared" si="37"/>
        <v>2030.5833333333333</v>
      </c>
      <c r="N146" s="5">
        <v>26542.2</v>
      </c>
      <c r="O146" s="5">
        <f t="shared" si="38"/>
        <v>26542.2</v>
      </c>
      <c r="P146" s="5">
        <f t="shared" si="39"/>
        <v>184.32083333333333</v>
      </c>
      <c r="Q146" s="5">
        <f t="shared" si="40"/>
        <v>2211.85</v>
      </c>
      <c r="R146" s="5">
        <f t="shared" si="41"/>
        <v>2211.85</v>
      </c>
      <c r="S146" s="5">
        <f t="shared" si="42"/>
        <v>0</v>
      </c>
      <c r="T146" s="5">
        <f t="shared" si="43"/>
        <v>2211.85</v>
      </c>
      <c r="U146" s="5">
        <f t="shared" si="44"/>
        <v>24330.350000000002</v>
      </c>
    </row>
    <row r="147" spans="2:21">
      <c r="B147">
        <v>32</v>
      </c>
      <c r="C147" t="s">
        <v>845</v>
      </c>
      <c r="E147">
        <v>171564</v>
      </c>
      <c r="G147">
        <v>2016</v>
      </c>
      <c r="H147">
        <v>12</v>
      </c>
      <c r="I147">
        <v>0</v>
      </c>
      <c r="J147" t="s">
        <v>30</v>
      </c>
      <c r="K147" s="45">
        <v>7</v>
      </c>
      <c r="L147">
        <f t="shared" si="36"/>
        <v>2023</v>
      </c>
      <c r="M147" s="15">
        <f t="shared" si="37"/>
        <v>2024</v>
      </c>
      <c r="N147" s="5">
        <v>23208.11</v>
      </c>
      <c r="O147" s="5">
        <f t="shared" si="38"/>
        <v>23208.11</v>
      </c>
      <c r="P147" s="5">
        <f t="shared" si="39"/>
        <v>276.28702380952382</v>
      </c>
      <c r="Q147" s="5">
        <f t="shared" si="40"/>
        <v>3315.4442857142858</v>
      </c>
      <c r="R147" s="5">
        <f t="shared" si="41"/>
        <v>3315.4442857142858</v>
      </c>
      <c r="S147" s="5">
        <f t="shared" si="42"/>
        <v>6630.8885714285716</v>
      </c>
      <c r="T147" s="5">
        <f t="shared" si="43"/>
        <v>9946.3328571428574</v>
      </c>
      <c r="U147" s="5">
        <f t="shared" si="44"/>
        <v>13261.777142857143</v>
      </c>
    </row>
    <row r="148" spans="2:21">
      <c r="B148">
        <v>30</v>
      </c>
      <c r="C148" t="s">
        <v>845</v>
      </c>
      <c r="E148">
        <v>185089</v>
      </c>
      <c r="G148">
        <v>2017</v>
      </c>
      <c r="H148">
        <v>7</v>
      </c>
      <c r="I148">
        <v>0</v>
      </c>
      <c r="J148" t="s">
        <v>30</v>
      </c>
      <c r="K148" s="45">
        <v>7</v>
      </c>
      <c r="L148">
        <f t="shared" si="36"/>
        <v>2024</v>
      </c>
      <c r="M148" s="15">
        <f t="shared" si="37"/>
        <v>2024.5833333333333</v>
      </c>
      <c r="N148" s="5">
        <v>27570.46</v>
      </c>
      <c r="O148" s="5">
        <f t="shared" si="38"/>
        <v>27570.46</v>
      </c>
      <c r="P148" s="5">
        <f t="shared" si="39"/>
        <v>328.21976190476192</v>
      </c>
      <c r="Q148" s="5">
        <f t="shared" si="40"/>
        <v>3938.6371428571429</v>
      </c>
      <c r="R148" s="5">
        <f t="shared" si="41"/>
        <v>3938.6371428571429</v>
      </c>
      <c r="S148" s="5">
        <f t="shared" si="42"/>
        <v>3938.6371428571429</v>
      </c>
      <c r="T148" s="5">
        <f t="shared" si="43"/>
        <v>7877.2742857142857</v>
      </c>
      <c r="U148" s="5">
        <f t="shared" si="44"/>
        <v>19693.185714285712</v>
      </c>
    </row>
    <row r="149" spans="2:21">
      <c r="B149">
        <v>36</v>
      </c>
      <c r="C149" t="s">
        <v>845</v>
      </c>
      <c r="E149">
        <v>190185</v>
      </c>
      <c r="G149">
        <v>2017</v>
      </c>
      <c r="H149">
        <v>12</v>
      </c>
      <c r="I149">
        <v>0</v>
      </c>
      <c r="J149" t="s">
        <v>30</v>
      </c>
      <c r="K149" s="45">
        <v>7</v>
      </c>
      <c r="L149">
        <f t="shared" si="36"/>
        <v>2024</v>
      </c>
      <c r="M149" s="15">
        <f t="shared" si="37"/>
        <v>2025</v>
      </c>
      <c r="N149" s="5">
        <v>28526.21</v>
      </c>
      <c r="O149" s="5">
        <f t="shared" si="38"/>
        <v>28526.21</v>
      </c>
      <c r="P149" s="5">
        <f t="shared" si="39"/>
        <v>339.59773809523807</v>
      </c>
      <c r="Q149" s="5">
        <f t="shared" si="40"/>
        <v>4075.1728571428566</v>
      </c>
      <c r="R149" s="5">
        <f t="shared" si="41"/>
        <v>4075.1728571428566</v>
      </c>
      <c r="S149" s="5">
        <f t="shared" si="42"/>
        <v>4075.1728571428566</v>
      </c>
      <c r="T149" s="5">
        <f t="shared" si="43"/>
        <v>8150.3457142857133</v>
      </c>
      <c r="U149" s="5">
        <f t="shared" si="44"/>
        <v>20375.864285714284</v>
      </c>
    </row>
    <row r="150" spans="2:21" ht="13.5" customHeight="1">
      <c r="B150">
        <v>23</v>
      </c>
      <c r="C150" t="s">
        <v>492</v>
      </c>
      <c r="E150" t="s">
        <v>495</v>
      </c>
      <c r="G150">
        <v>2011</v>
      </c>
      <c r="H150">
        <v>6</v>
      </c>
      <c r="I150">
        <v>0</v>
      </c>
      <c r="J150" t="s">
        <v>30</v>
      </c>
      <c r="K150" s="45">
        <v>10</v>
      </c>
      <c r="L150">
        <f t="shared" si="36"/>
        <v>2021</v>
      </c>
      <c r="M150" s="15">
        <f t="shared" si="37"/>
        <v>2021.5</v>
      </c>
      <c r="N150" s="5">
        <f>14181.68+2127.27</f>
        <v>16308.95</v>
      </c>
      <c r="O150" s="5">
        <f t="shared" si="38"/>
        <v>16308.95</v>
      </c>
      <c r="P150" s="5">
        <f t="shared" si="39"/>
        <v>135.90791666666667</v>
      </c>
      <c r="Q150" s="5">
        <f t="shared" si="40"/>
        <v>1630.895</v>
      </c>
      <c r="R150" s="5">
        <f t="shared" si="41"/>
        <v>1630.895</v>
      </c>
      <c r="S150" s="5">
        <f t="shared" si="42"/>
        <v>11416.264999999999</v>
      </c>
      <c r="T150" s="5">
        <f t="shared" si="43"/>
        <v>13047.16</v>
      </c>
      <c r="U150" s="5">
        <f t="shared" si="44"/>
        <v>3261.7900000000009</v>
      </c>
    </row>
    <row r="151" spans="2:21">
      <c r="B151">
        <v>2</v>
      </c>
      <c r="C151" t="s">
        <v>829</v>
      </c>
      <c r="E151">
        <v>132890</v>
      </c>
      <c r="G151">
        <v>2016</v>
      </c>
      <c r="H151">
        <v>5</v>
      </c>
      <c r="I151">
        <v>0</v>
      </c>
      <c r="J151" t="s">
        <v>30</v>
      </c>
      <c r="K151" s="45">
        <v>7</v>
      </c>
      <c r="L151">
        <f t="shared" si="36"/>
        <v>2023</v>
      </c>
      <c r="M151" s="15">
        <f t="shared" si="37"/>
        <v>2023.4166666666667</v>
      </c>
      <c r="N151" s="5">
        <v>1585.76</v>
      </c>
      <c r="O151" s="5">
        <f t="shared" si="38"/>
        <v>1585.76</v>
      </c>
      <c r="P151" s="5">
        <f t="shared" si="39"/>
        <v>18.878095238095238</v>
      </c>
      <c r="Q151" s="5">
        <f t="shared" si="40"/>
        <v>226.53714285714284</v>
      </c>
      <c r="R151" s="5">
        <f t="shared" si="41"/>
        <v>226.53714285714284</v>
      </c>
      <c r="S151" s="5">
        <f t="shared" si="42"/>
        <v>453.07428571428568</v>
      </c>
      <c r="T151" s="5">
        <f t="shared" si="43"/>
        <v>679.61142857142852</v>
      </c>
      <c r="U151" s="5">
        <f t="shared" si="44"/>
        <v>906.14857142857147</v>
      </c>
    </row>
    <row r="152" spans="2:21">
      <c r="B152">
        <v>38</v>
      </c>
      <c r="C152" t="s">
        <v>829</v>
      </c>
      <c r="E152">
        <v>133363</v>
      </c>
      <c r="G152">
        <v>2016</v>
      </c>
      <c r="H152">
        <v>5</v>
      </c>
      <c r="I152">
        <v>0</v>
      </c>
      <c r="J152" t="s">
        <v>30</v>
      </c>
      <c r="K152" s="45">
        <v>7</v>
      </c>
      <c r="L152">
        <f t="shared" si="36"/>
        <v>2023</v>
      </c>
      <c r="M152" s="15">
        <f t="shared" si="37"/>
        <v>2023.4166666666667</v>
      </c>
      <c r="N152" s="5">
        <v>30292.639999999999</v>
      </c>
      <c r="O152" s="5">
        <f t="shared" si="38"/>
        <v>30292.639999999999</v>
      </c>
      <c r="P152" s="5">
        <f t="shared" si="39"/>
        <v>360.62666666666661</v>
      </c>
      <c r="Q152" s="5">
        <f t="shared" si="40"/>
        <v>4327.5199999999995</v>
      </c>
      <c r="R152" s="5">
        <f t="shared" si="41"/>
        <v>4327.5199999999995</v>
      </c>
      <c r="S152" s="5">
        <f t="shared" si="42"/>
        <v>8655.0399999999991</v>
      </c>
      <c r="T152" s="5">
        <f t="shared" si="43"/>
        <v>12982.559999999998</v>
      </c>
      <c r="U152" s="5">
        <f t="shared" si="44"/>
        <v>17310.080000000002</v>
      </c>
    </row>
    <row r="153" spans="2:21">
      <c r="B153">
        <v>6</v>
      </c>
      <c r="C153" t="s">
        <v>610</v>
      </c>
      <c r="E153">
        <v>87412</v>
      </c>
      <c r="G153">
        <v>2011</v>
      </c>
      <c r="H153">
        <v>10</v>
      </c>
      <c r="I153">
        <v>0</v>
      </c>
      <c r="J153" t="s">
        <v>30</v>
      </c>
      <c r="K153" s="45">
        <v>12</v>
      </c>
      <c r="L153">
        <f t="shared" si="36"/>
        <v>2023</v>
      </c>
      <c r="M153" s="15">
        <f t="shared" si="37"/>
        <v>2023.8333333333333</v>
      </c>
      <c r="N153" s="5">
        <v>4905.38</v>
      </c>
      <c r="O153" s="5">
        <f t="shared" si="38"/>
        <v>4905.38</v>
      </c>
      <c r="P153" s="5">
        <f t="shared" si="39"/>
        <v>34.065138888888889</v>
      </c>
      <c r="Q153" s="5">
        <f t="shared" si="40"/>
        <v>408.78166666666664</v>
      </c>
      <c r="R153" s="5">
        <f t="shared" si="41"/>
        <v>408.78166666666664</v>
      </c>
      <c r="S153" s="5">
        <f t="shared" si="42"/>
        <v>2861.4716666666664</v>
      </c>
      <c r="T153" s="5">
        <f t="shared" si="43"/>
        <v>3270.2533333333331</v>
      </c>
      <c r="U153" s="5">
        <f t="shared" si="44"/>
        <v>1635.126666666667</v>
      </c>
    </row>
    <row r="154" spans="2:21">
      <c r="B154">
        <v>8</v>
      </c>
      <c r="C154" t="s">
        <v>610</v>
      </c>
      <c r="E154">
        <v>87411</v>
      </c>
      <c r="G154">
        <v>2011</v>
      </c>
      <c r="H154">
        <v>10</v>
      </c>
      <c r="I154">
        <v>0</v>
      </c>
      <c r="J154" t="s">
        <v>30</v>
      </c>
      <c r="K154" s="45">
        <v>12</v>
      </c>
      <c r="L154">
        <f t="shared" si="36"/>
        <v>2023</v>
      </c>
      <c r="M154" s="15">
        <f t="shared" si="37"/>
        <v>2023.8333333333333</v>
      </c>
      <c r="N154" s="5">
        <v>6540.51</v>
      </c>
      <c r="O154" s="5">
        <f t="shared" si="38"/>
        <v>6540.51</v>
      </c>
      <c r="P154" s="5">
        <f t="shared" si="39"/>
        <v>45.420208333333335</v>
      </c>
      <c r="Q154" s="5">
        <f t="shared" si="40"/>
        <v>545.04250000000002</v>
      </c>
      <c r="R154" s="5">
        <f t="shared" si="41"/>
        <v>545.04250000000002</v>
      </c>
      <c r="S154" s="5">
        <f t="shared" si="42"/>
        <v>3815.2975000000001</v>
      </c>
      <c r="T154" s="5">
        <f t="shared" si="43"/>
        <v>4360.34</v>
      </c>
      <c r="U154" s="5">
        <f t="shared" si="44"/>
        <v>2180.17</v>
      </c>
    </row>
    <row r="155" spans="2:21">
      <c r="B155">
        <v>8</v>
      </c>
      <c r="C155" t="s">
        <v>1072</v>
      </c>
      <c r="E155">
        <v>206678</v>
      </c>
      <c r="G155">
        <v>2018</v>
      </c>
      <c r="H155">
        <v>10</v>
      </c>
      <c r="I155">
        <v>0</v>
      </c>
      <c r="J155" t="s">
        <v>30</v>
      </c>
      <c r="K155" s="45">
        <v>12</v>
      </c>
      <c r="L155">
        <f t="shared" si="36"/>
        <v>2030</v>
      </c>
      <c r="M155" s="15">
        <f t="shared" si="37"/>
        <v>2030.8333333333333</v>
      </c>
      <c r="N155" s="5">
        <v>7904.57</v>
      </c>
      <c r="O155" s="5">
        <f t="shared" si="38"/>
        <v>7904.57</v>
      </c>
      <c r="P155" s="5">
        <f t="shared" si="39"/>
        <v>54.892847222222223</v>
      </c>
      <c r="Q155" s="5">
        <f t="shared" si="40"/>
        <v>658.71416666666664</v>
      </c>
      <c r="R155" s="5">
        <f t="shared" si="41"/>
        <v>658.71416666666664</v>
      </c>
      <c r="S155" s="5">
        <f t="shared" si="42"/>
        <v>0</v>
      </c>
      <c r="T155" s="5">
        <f t="shared" si="43"/>
        <v>658.71416666666664</v>
      </c>
      <c r="U155" s="5">
        <f t="shared" si="44"/>
        <v>7245.8558333333331</v>
      </c>
    </row>
    <row r="156" spans="2:21">
      <c r="B156">
        <v>13</v>
      </c>
      <c r="C156" t="s">
        <v>1073</v>
      </c>
      <c r="E156">
        <v>206679</v>
      </c>
      <c r="G156">
        <v>2018</v>
      </c>
      <c r="H156">
        <v>10</v>
      </c>
      <c r="I156">
        <v>0</v>
      </c>
      <c r="J156" t="s">
        <v>30</v>
      </c>
      <c r="K156" s="45">
        <v>12</v>
      </c>
      <c r="L156">
        <f t="shared" si="36"/>
        <v>2030</v>
      </c>
      <c r="M156" s="15">
        <f t="shared" si="37"/>
        <v>2030.8333333333333</v>
      </c>
      <c r="N156" s="5">
        <v>12844.93</v>
      </c>
      <c r="O156" s="5">
        <f t="shared" si="38"/>
        <v>12844.93</v>
      </c>
      <c r="P156" s="5">
        <f t="shared" si="39"/>
        <v>89.200902777777785</v>
      </c>
      <c r="Q156" s="5">
        <f t="shared" si="40"/>
        <v>1070.4108333333334</v>
      </c>
      <c r="R156" s="5">
        <f t="shared" si="41"/>
        <v>1070.4108333333334</v>
      </c>
      <c r="S156" s="5">
        <f t="shared" si="42"/>
        <v>0</v>
      </c>
      <c r="T156" s="5">
        <f t="shared" si="43"/>
        <v>1070.4108333333334</v>
      </c>
      <c r="U156" s="5">
        <f t="shared" si="44"/>
        <v>11774.519166666667</v>
      </c>
    </row>
    <row r="157" spans="2:21">
      <c r="B157">
        <v>3</v>
      </c>
      <c r="C157" t="s">
        <v>549</v>
      </c>
      <c r="E157">
        <v>78591</v>
      </c>
      <c r="G157">
        <v>2010</v>
      </c>
      <c r="H157">
        <v>9</v>
      </c>
      <c r="I157">
        <v>0</v>
      </c>
      <c r="J157" t="s">
        <v>30</v>
      </c>
      <c r="K157" s="45" t="s">
        <v>35</v>
      </c>
      <c r="L157">
        <f t="shared" si="36"/>
        <v>2020</v>
      </c>
      <c r="M157" s="15">
        <f t="shared" si="37"/>
        <v>2020.75</v>
      </c>
      <c r="N157" s="5">
        <v>2426.46</v>
      </c>
      <c r="O157" s="5">
        <f t="shared" si="38"/>
        <v>2426.46</v>
      </c>
      <c r="P157" s="5">
        <f t="shared" si="39"/>
        <v>20.220500000000001</v>
      </c>
      <c r="Q157" s="5">
        <f t="shared" si="40"/>
        <v>242.64600000000002</v>
      </c>
      <c r="R157" s="5">
        <f t="shared" si="41"/>
        <v>242.64600000000002</v>
      </c>
      <c r="S157" s="5">
        <f t="shared" si="42"/>
        <v>1941.1680000000001</v>
      </c>
      <c r="T157" s="5">
        <f t="shared" si="43"/>
        <v>2183.8140000000003</v>
      </c>
      <c r="U157" s="5">
        <f t="shared" si="44"/>
        <v>242.64599999999973</v>
      </c>
    </row>
    <row r="158" spans="2:21">
      <c r="B158">
        <v>8</v>
      </c>
      <c r="C158" t="s">
        <v>549</v>
      </c>
      <c r="E158">
        <v>96395</v>
      </c>
      <c r="G158">
        <v>2012</v>
      </c>
      <c r="H158">
        <v>7</v>
      </c>
      <c r="I158">
        <v>0</v>
      </c>
      <c r="J158" t="s">
        <v>30</v>
      </c>
      <c r="K158" s="45">
        <v>12</v>
      </c>
      <c r="L158">
        <f t="shared" si="36"/>
        <v>2024</v>
      </c>
      <c r="M158" s="15">
        <f t="shared" si="37"/>
        <v>2024.5833333333333</v>
      </c>
      <c r="N158" s="5">
        <v>8067.16</v>
      </c>
      <c r="O158" s="5">
        <f t="shared" si="38"/>
        <v>8067.16</v>
      </c>
      <c r="P158" s="5">
        <f t="shared" si="39"/>
        <v>56.021944444444443</v>
      </c>
      <c r="Q158" s="5">
        <f t="shared" si="40"/>
        <v>672.26333333333332</v>
      </c>
      <c r="R158" s="5">
        <f t="shared" si="41"/>
        <v>672.26333333333332</v>
      </c>
      <c r="S158" s="5">
        <f t="shared" si="42"/>
        <v>4033.58</v>
      </c>
      <c r="T158" s="5">
        <f t="shared" si="43"/>
        <v>4705.8433333333332</v>
      </c>
      <c r="U158" s="5">
        <f t="shared" si="44"/>
        <v>3361.3166666666666</v>
      </c>
    </row>
    <row r="159" spans="2:21">
      <c r="B159">
        <v>11</v>
      </c>
      <c r="C159" t="s">
        <v>549</v>
      </c>
      <c r="E159">
        <v>78590</v>
      </c>
      <c r="G159">
        <v>2010</v>
      </c>
      <c r="H159">
        <v>9</v>
      </c>
      <c r="I159">
        <v>0</v>
      </c>
      <c r="J159" t="s">
        <v>30</v>
      </c>
      <c r="K159" s="45" t="s">
        <v>35</v>
      </c>
      <c r="L159">
        <f t="shared" si="36"/>
        <v>2020</v>
      </c>
      <c r="M159" s="15">
        <f t="shared" si="37"/>
        <v>2020.75</v>
      </c>
      <c r="N159" s="5">
        <v>8897.02</v>
      </c>
      <c r="O159" s="5">
        <f t="shared" si="38"/>
        <v>8897.02</v>
      </c>
      <c r="P159" s="5">
        <f t="shared" si="39"/>
        <v>74.141833333333338</v>
      </c>
      <c r="Q159" s="5">
        <f t="shared" si="40"/>
        <v>889.702</v>
      </c>
      <c r="R159" s="5">
        <f t="shared" si="41"/>
        <v>889.702</v>
      </c>
      <c r="S159" s="5">
        <f t="shared" si="42"/>
        <v>7117.616</v>
      </c>
      <c r="T159" s="5">
        <f t="shared" si="43"/>
        <v>8007.3180000000002</v>
      </c>
      <c r="U159" s="5">
        <f t="shared" si="44"/>
        <v>889.70200000000023</v>
      </c>
    </row>
    <row r="160" spans="2:21">
      <c r="B160">
        <v>11</v>
      </c>
      <c r="C160" t="s">
        <v>549</v>
      </c>
      <c r="E160">
        <v>78589</v>
      </c>
      <c r="G160">
        <v>2010</v>
      </c>
      <c r="H160">
        <v>9</v>
      </c>
      <c r="I160">
        <v>0</v>
      </c>
      <c r="J160" t="s">
        <v>30</v>
      </c>
      <c r="K160" s="45" t="s">
        <v>35</v>
      </c>
      <c r="L160">
        <f t="shared" si="36"/>
        <v>2020</v>
      </c>
      <c r="M160" s="15">
        <f t="shared" si="37"/>
        <v>2020.75</v>
      </c>
      <c r="N160" s="5">
        <v>8897.02</v>
      </c>
      <c r="O160" s="5">
        <f t="shared" si="38"/>
        <v>8897.02</v>
      </c>
      <c r="P160" s="5">
        <f t="shared" si="39"/>
        <v>74.141833333333338</v>
      </c>
      <c r="Q160" s="5">
        <f t="shared" si="40"/>
        <v>889.702</v>
      </c>
      <c r="R160" s="5">
        <f t="shared" si="41"/>
        <v>889.702</v>
      </c>
      <c r="S160" s="5">
        <f t="shared" si="42"/>
        <v>7117.616</v>
      </c>
      <c r="T160" s="5">
        <f t="shared" si="43"/>
        <v>8007.3180000000002</v>
      </c>
      <c r="U160" s="5">
        <f t="shared" si="44"/>
        <v>889.70200000000023</v>
      </c>
    </row>
    <row r="161" spans="2:21">
      <c r="B161">
        <v>11</v>
      </c>
      <c r="C161" t="s">
        <v>549</v>
      </c>
      <c r="E161">
        <v>78588</v>
      </c>
      <c r="G161">
        <v>2010</v>
      </c>
      <c r="H161">
        <v>9</v>
      </c>
      <c r="I161">
        <v>0</v>
      </c>
      <c r="J161" t="s">
        <v>30</v>
      </c>
      <c r="K161" s="45" t="s">
        <v>35</v>
      </c>
      <c r="L161">
        <f t="shared" si="36"/>
        <v>2020</v>
      </c>
      <c r="M161" s="15">
        <f t="shared" si="37"/>
        <v>2020.75</v>
      </c>
      <c r="N161" s="5">
        <v>8897.02</v>
      </c>
      <c r="O161" s="5">
        <f t="shared" si="38"/>
        <v>8897.02</v>
      </c>
      <c r="P161" s="5">
        <f t="shared" si="39"/>
        <v>74.141833333333338</v>
      </c>
      <c r="Q161" s="5">
        <f t="shared" si="40"/>
        <v>889.702</v>
      </c>
      <c r="R161" s="5">
        <f t="shared" si="41"/>
        <v>889.702</v>
      </c>
      <c r="S161" s="5">
        <f t="shared" si="42"/>
        <v>7117.616</v>
      </c>
      <c r="T161" s="5">
        <f t="shared" si="43"/>
        <v>8007.3180000000002</v>
      </c>
      <c r="U161" s="5">
        <f t="shared" si="44"/>
        <v>889.70200000000023</v>
      </c>
    </row>
    <row r="162" spans="2:21">
      <c r="B162">
        <v>18</v>
      </c>
      <c r="C162" t="s">
        <v>549</v>
      </c>
      <c r="E162">
        <v>96396</v>
      </c>
      <c r="G162">
        <v>2012</v>
      </c>
      <c r="H162">
        <v>7</v>
      </c>
      <c r="I162">
        <v>0</v>
      </c>
      <c r="J162" t="s">
        <v>30</v>
      </c>
      <c r="K162" s="45">
        <v>12</v>
      </c>
      <c r="L162">
        <f t="shared" si="36"/>
        <v>2024</v>
      </c>
      <c r="M162" s="15">
        <f t="shared" si="37"/>
        <v>2024.5833333333333</v>
      </c>
      <c r="N162" s="5">
        <v>18055.38</v>
      </c>
      <c r="O162" s="5">
        <f t="shared" si="38"/>
        <v>18055.38</v>
      </c>
      <c r="P162" s="5">
        <f t="shared" si="39"/>
        <v>125.38458333333334</v>
      </c>
      <c r="Q162" s="5">
        <f t="shared" si="40"/>
        <v>1504.615</v>
      </c>
      <c r="R162" s="5">
        <f t="shared" si="41"/>
        <v>1504.615</v>
      </c>
      <c r="S162" s="5">
        <f t="shared" si="42"/>
        <v>9027.69</v>
      </c>
      <c r="T162" s="5">
        <f t="shared" si="43"/>
        <v>10532.305</v>
      </c>
      <c r="U162" s="5">
        <f t="shared" si="44"/>
        <v>7523.0750000000007</v>
      </c>
    </row>
    <row r="163" spans="2:21">
      <c r="B163">
        <v>9</v>
      </c>
      <c r="C163" t="s">
        <v>652</v>
      </c>
      <c r="E163">
        <v>95356</v>
      </c>
      <c r="G163">
        <v>2012</v>
      </c>
      <c r="H163">
        <v>7</v>
      </c>
      <c r="I163">
        <v>0</v>
      </c>
      <c r="J163" t="s">
        <v>30</v>
      </c>
      <c r="K163" s="45">
        <v>12</v>
      </c>
      <c r="L163">
        <f t="shared" si="36"/>
        <v>2024</v>
      </c>
      <c r="M163" s="15">
        <f t="shared" si="37"/>
        <v>2024.5833333333333</v>
      </c>
      <c r="N163" s="5">
        <v>9027.69</v>
      </c>
      <c r="O163" s="5">
        <f t="shared" si="38"/>
        <v>9027.69</v>
      </c>
      <c r="P163" s="5">
        <f t="shared" si="39"/>
        <v>62.692291666666669</v>
      </c>
      <c r="Q163" s="5">
        <f t="shared" si="40"/>
        <v>752.3075</v>
      </c>
      <c r="R163" s="5">
        <f t="shared" si="41"/>
        <v>752.3075</v>
      </c>
      <c r="S163" s="5">
        <f t="shared" si="42"/>
        <v>4513.8450000000003</v>
      </c>
      <c r="T163" s="5">
        <f t="shared" si="43"/>
        <v>5266.1525000000001</v>
      </c>
      <c r="U163" s="5">
        <f t="shared" si="44"/>
        <v>3761.5375000000004</v>
      </c>
    </row>
    <row r="164" spans="2:21">
      <c r="B164">
        <v>237</v>
      </c>
      <c r="C164" t="s">
        <v>282</v>
      </c>
      <c r="E164">
        <v>84459</v>
      </c>
      <c r="G164">
        <v>2011</v>
      </c>
      <c r="H164">
        <v>1</v>
      </c>
      <c r="I164">
        <v>0</v>
      </c>
      <c r="J164" t="s">
        <v>30</v>
      </c>
      <c r="K164" s="45">
        <v>10</v>
      </c>
      <c r="L164">
        <f t="shared" si="36"/>
        <v>2021</v>
      </c>
      <c r="M164" s="15">
        <f t="shared" si="37"/>
        <v>2021.0833333333333</v>
      </c>
      <c r="N164" s="5">
        <v>0</v>
      </c>
      <c r="O164" s="5">
        <f t="shared" si="38"/>
        <v>0</v>
      </c>
      <c r="P164" s="5">
        <f t="shared" si="39"/>
        <v>0</v>
      </c>
      <c r="Q164" s="5">
        <f t="shared" si="40"/>
        <v>0</v>
      </c>
      <c r="R164" s="5">
        <f t="shared" si="41"/>
        <v>0</v>
      </c>
      <c r="S164" s="5">
        <f t="shared" si="42"/>
        <v>0</v>
      </c>
      <c r="T164" s="5">
        <f t="shared" si="43"/>
        <v>0</v>
      </c>
      <c r="U164" s="5">
        <f t="shared" si="44"/>
        <v>0</v>
      </c>
    </row>
    <row r="165" spans="2:21">
      <c r="B165">
        <v>10</v>
      </c>
      <c r="C165" t="s">
        <v>788</v>
      </c>
      <c r="E165">
        <v>124559</v>
      </c>
      <c r="G165">
        <v>2015</v>
      </c>
      <c r="H165">
        <v>7</v>
      </c>
      <c r="I165">
        <v>0</v>
      </c>
      <c r="J165" t="s">
        <v>30</v>
      </c>
      <c r="K165" s="45">
        <v>12</v>
      </c>
      <c r="L165">
        <f t="shared" si="36"/>
        <v>2027</v>
      </c>
      <c r="M165" s="15">
        <f t="shared" si="37"/>
        <v>2027.5833333333333</v>
      </c>
      <c r="N165" s="5">
        <v>8997.76</v>
      </c>
      <c r="O165" s="5">
        <f t="shared" si="38"/>
        <v>8997.76</v>
      </c>
      <c r="P165" s="5">
        <f t="shared" si="39"/>
        <v>62.484444444444449</v>
      </c>
      <c r="Q165" s="5">
        <f t="shared" si="40"/>
        <v>749.81333333333339</v>
      </c>
      <c r="R165" s="5">
        <f t="shared" si="41"/>
        <v>749.81333333333339</v>
      </c>
      <c r="S165" s="5">
        <f t="shared" si="42"/>
        <v>2249.44</v>
      </c>
      <c r="T165" s="5">
        <f t="shared" si="43"/>
        <v>2999.2533333333336</v>
      </c>
      <c r="U165" s="5">
        <f t="shared" si="44"/>
        <v>5998.5066666666662</v>
      </c>
    </row>
    <row r="166" spans="2:21">
      <c r="B166">
        <v>1</v>
      </c>
      <c r="C166" t="s">
        <v>132</v>
      </c>
      <c r="E166">
        <v>86879</v>
      </c>
      <c r="G166">
        <v>2011</v>
      </c>
      <c r="H166">
        <v>9</v>
      </c>
      <c r="I166">
        <v>0</v>
      </c>
      <c r="J166" t="s">
        <v>30</v>
      </c>
      <c r="K166" s="45">
        <v>10</v>
      </c>
      <c r="L166">
        <f t="shared" si="36"/>
        <v>2021</v>
      </c>
      <c r="M166" s="15">
        <f t="shared" si="37"/>
        <v>2021.75</v>
      </c>
      <c r="N166" s="5">
        <v>817.56</v>
      </c>
      <c r="O166" s="5">
        <f t="shared" si="38"/>
        <v>817.56</v>
      </c>
      <c r="P166" s="5">
        <f t="shared" si="39"/>
        <v>6.8129999999999997</v>
      </c>
      <c r="Q166" s="5">
        <f t="shared" si="40"/>
        <v>81.756</v>
      </c>
      <c r="R166" s="5">
        <f t="shared" si="41"/>
        <v>81.756</v>
      </c>
      <c r="S166" s="5">
        <f t="shared" si="42"/>
        <v>572.29200000000003</v>
      </c>
      <c r="T166" s="5">
        <f t="shared" si="43"/>
        <v>654.048</v>
      </c>
      <c r="U166" s="5">
        <f t="shared" si="44"/>
        <v>163.51199999999994</v>
      </c>
    </row>
    <row r="167" spans="2:21">
      <c r="B167">
        <v>12</v>
      </c>
      <c r="C167" t="s">
        <v>902</v>
      </c>
      <c r="E167">
        <v>185871</v>
      </c>
      <c r="G167">
        <v>2017</v>
      </c>
      <c r="H167">
        <v>8</v>
      </c>
      <c r="I167">
        <v>0</v>
      </c>
      <c r="J167" t="s">
        <v>30</v>
      </c>
      <c r="K167" s="45">
        <v>12</v>
      </c>
      <c r="L167">
        <f t="shared" ref="L167:L181" si="45">G167+K167</f>
        <v>2029</v>
      </c>
      <c r="M167" s="15">
        <f t="shared" ref="M167:M181" si="46">+L167+(H167/12)</f>
        <v>2029.6666666666667</v>
      </c>
      <c r="N167" s="5">
        <v>10634.3</v>
      </c>
      <c r="O167" s="5">
        <f t="shared" ref="O167:O181" si="47">N167-N167*I167</f>
        <v>10634.3</v>
      </c>
      <c r="P167" s="5">
        <f t="shared" ref="P167:P181" si="48">O167/K167/12</f>
        <v>73.849305555555546</v>
      </c>
      <c r="Q167" s="5">
        <f t="shared" ref="Q167:Q181" si="49">P167*12</f>
        <v>886.19166666666661</v>
      </c>
      <c r="R167" s="5">
        <f t="shared" ref="R167:R181" si="50">+IF(M167&lt;=$O$5,0,IF(L167&gt;$O$4,Q167,(P167*H167)))</f>
        <v>886.19166666666661</v>
      </c>
      <c r="S167" s="5">
        <f t="shared" ref="S167:S181" si="51">+IF(R167=0,N167,IF($O$3-G167&lt;1,0,(($O$3-G167)*Q167)))</f>
        <v>886.19166666666661</v>
      </c>
      <c r="T167" s="5">
        <f t="shared" ref="T167:T181" si="52">+IF(R167=0,S167,S167+R167)</f>
        <v>1772.3833333333332</v>
      </c>
      <c r="U167" s="5">
        <f t="shared" ref="U167:U181" si="53">+N167-T167</f>
        <v>8861.9166666666661</v>
      </c>
    </row>
    <row r="168" spans="2:21">
      <c r="B168">
        <v>16</v>
      </c>
      <c r="C168" t="s">
        <v>902</v>
      </c>
      <c r="E168">
        <v>188831</v>
      </c>
      <c r="G168">
        <v>2017</v>
      </c>
      <c r="H168">
        <v>9</v>
      </c>
      <c r="I168">
        <v>0</v>
      </c>
      <c r="J168" t="s">
        <v>30</v>
      </c>
      <c r="K168" s="45">
        <v>12</v>
      </c>
      <c r="L168">
        <f t="shared" si="45"/>
        <v>2029</v>
      </c>
      <c r="M168" s="15">
        <f t="shared" si="46"/>
        <v>2029.75</v>
      </c>
      <c r="N168" s="5">
        <v>13540.65</v>
      </c>
      <c r="O168" s="5">
        <f t="shared" si="47"/>
        <v>13540.65</v>
      </c>
      <c r="P168" s="5">
        <f t="shared" si="48"/>
        <v>94.032291666666666</v>
      </c>
      <c r="Q168" s="5">
        <f t="shared" si="49"/>
        <v>1128.3875</v>
      </c>
      <c r="R168" s="5">
        <f t="shared" si="50"/>
        <v>1128.3875</v>
      </c>
      <c r="S168" s="5">
        <f t="shared" si="51"/>
        <v>1128.3875</v>
      </c>
      <c r="T168" s="5">
        <f t="shared" si="52"/>
        <v>2256.7750000000001</v>
      </c>
      <c r="U168" s="5">
        <f t="shared" si="53"/>
        <v>11283.875</v>
      </c>
    </row>
    <row r="169" spans="2:21">
      <c r="B169">
        <v>16</v>
      </c>
      <c r="C169" t="s">
        <v>902</v>
      </c>
      <c r="E169">
        <v>187205</v>
      </c>
      <c r="G169">
        <v>2017</v>
      </c>
      <c r="H169">
        <v>9</v>
      </c>
      <c r="I169">
        <v>0</v>
      </c>
      <c r="J169" t="s">
        <v>30</v>
      </c>
      <c r="K169" s="45">
        <v>12</v>
      </c>
      <c r="L169">
        <f t="shared" si="45"/>
        <v>2029</v>
      </c>
      <c r="M169" s="15">
        <f t="shared" si="46"/>
        <v>2029.75</v>
      </c>
      <c r="N169" s="5">
        <v>13540.65</v>
      </c>
      <c r="O169" s="5">
        <f t="shared" si="47"/>
        <v>13540.65</v>
      </c>
      <c r="P169" s="5">
        <f t="shared" si="48"/>
        <v>94.032291666666666</v>
      </c>
      <c r="Q169" s="5">
        <f t="shared" si="49"/>
        <v>1128.3875</v>
      </c>
      <c r="R169" s="5">
        <f t="shared" si="50"/>
        <v>1128.3875</v>
      </c>
      <c r="S169" s="5">
        <f t="shared" si="51"/>
        <v>1128.3875</v>
      </c>
      <c r="T169" s="5">
        <f t="shared" si="52"/>
        <v>2256.7750000000001</v>
      </c>
      <c r="U169" s="5">
        <f t="shared" si="53"/>
        <v>11283.875</v>
      </c>
    </row>
    <row r="170" spans="2:21">
      <c r="B170">
        <v>16</v>
      </c>
      <c r="C170" t="s">
        <v>902</v>
      </c>
      <c r="E170">
        <v>186097</v>
      </c>
      <c r="G170">
        <v>2017</v>
      </c>
      <c r="H170">
        <v>9</v>
      </c>
      <c r="I170">
        <v>0</v>
      </c>
      <c r="J170" t="s">
        <v>30</v>
      </c>
      <c r="K170" s="45">
        <v>12</v>
      </c>
      <c r="L170">
        <f t="shared" si="45"/>
        <v>2029</v>
      </c>
      <c r="M170" s="15">
        <f t="shared" si="46"/>
        <v>2029.75</v>
      </c>
      <c r="N170" s="5">
        <v>13540.65</v>
      </c>
      <c r="O170" s="5">
        <f t="shared" si="47"/>
        <v>13540.65</v>
      </c>
      <c r="P170" s="5">
        <f t="shared" si="48"/>
        <v>94.032291666666666</v>
      </c>
      <c r="Q170" s="5">
        <f t="shared" si="49"/>
        <v>1128.3875</v>
      </c>
      <c r="R170" s="5">
        <f t="shared" si="50"/>
        <v>1128.3875</v>
      </c>
      <c r="S170" s="5">
        <f t="shared" si="51"/>
        <v>1128.3875</v>
      </c>
      <c r="T170" s="5">
        <f t="shared" si="52"/>
        <v>2256.7750000000001</v>
      </c>
      <c r="U170" s="5">
        <f t="shared" si="53"/>
        <v>11283.875</v>
      </c>
    </row>
    <row r="171" spans="2:21">
      <c r="B171">
        <v>16</v>
      </c>
      <c r="C171" t="s">
        <v>850</v>
      </c>
      <c r="E171">
        <v>187204</v>
      </c>
      <c r="G171">
        <v>2017</v>
      </c>
      <c r="H171">
        <v>9</v>
      </c>
      <c r="I171">
        <v>0</v>
      </c>
      <c r="J171" t="s">
        <v>30</v>
      </c>
      <c r="K171" s="45">
        <v>12</v>
      </c>
      <c r="L171">
        <f t="shared" si="45"/>
        <v>2029</v>
      </c>
      <c r="M171" s="15">
        <f t="shared" si="46"/>
        <v>2029.75</v>
      </c>
      <c r="N171" s="5">
        <v>13540.65</v>
      </c>
      <c r="O171" s="5">
        <f t="shared" si="47"/>
        <v>13540.65</v>
      </c>
      <c r="P171" s="5">
        <f t="shared" si="48"/>
        <v>94.032291666666666</v>
      </c>
      <c r="Q171" s="5">
        <f t="shared" si="49"/>
        <v>1128.3875</v>
      </c>
      <c r="R171" s="5">
        <f t="shared" si="50"/>
        <v>1128.3875</v>
      </c>
      <c r="S171" s="5">
        <f t="shared" si="51"/>
        <v>1128.3875</v>
      </c>
      <c r="T171" s="5">
        <f t="shared" si="52"/>
        <v>2256.7750000000001</v>
      </c>
      <c r="U171" s="5">
        <f t="shared" si="53"/>
        <v>11283.875</v>
      </c>
    </row>
    <row r="172" spans="2:21">
      <c r="B172">
        <v>28</v>
      </c>
      <c r="C172" t="s">
        <v>850</v>
      </c>
      <c r="E172">
        <v>185181</v>
      </c>
      <c r="G172">
        <v>2017</v>
      </c>
      <c r="H172">
        <v>8</v>
      </c>
      <c r="I172">
        <v>0</v>
      </c>
      <c r="J172" t="s">
        <v>30</v>
      </c>
      <c r="K172" s="45">
        <v>7</v>
      </c>
      <c r="L172">
        <f t="shared" si="45"/>
        <v>2024</v>
      </c>
      <c r="M172" s="15">
        <f t="shared" si="46"/>
        <v>2024.6666666666667</v>
      </c>
      <c r="N172" s="5">
        <v>11103.98</v>
      </c>
      <c r="O172" s="5">
        <f t="shared" si="47"/>
        <v>11103.98</v>
      </c>
      <c r="P172" s="5">
        <f t="shared" si="48"/>
        <v>132.19023809523807</v>
      </c>
      <c r="Q172" s="5">
        <f t="shared" si="49"/>
        <v>1586.2828571428568</v>
      </c>
      <c r="R172" s="5">
        <f t="shared" si="50"/>
        <v>1586.2828571428568</v>
      </c>
      <c r="S172" s="5">
        <f t="shared" si="51"/>
        <v>1586.2828571428568</v>
      </c>
      <c r="T172" s="5">
        <f t="shared" si="52"/>
        <v>3172.5657142857135</v>
      </c>
      <c r="U172" s="5">
        <f t="shared" si="53"/>
        <v>7931.4142857142861</v>
      </c>
    </row>
    <row r="173" spans="2:21">
      <c r="B173">
        <v>12</v>
      </c>
      <c r="C173" t="s">
        <v>1049</v>
      </c>
      <c r="E173">
        <v>202807</v>
      </c>
      <c r="G173">
        <v>2018</v>
      </c>
      <c r="H173">
        <v>12</v>
      </c>
      <c r="I173">
        <v>0</v>
      </c>
      <c r="J173" t="s">
        <v>30</v>
      </c>
      <c r="K173" s="45">
        <v>12</v>
      </c>
      <c r="L173">
        <f t="shared" si="45"/>
        <v>2030</v>
      </c>
      <c r="M173" s="15">
        <f t="shared" si="46"/>
        <v>2031</v>
      </c>
      <c r="N173" s="5">
        <v>12004.42</v>
      </c>
      <c r="O173" s="5">
        <f t="shared" si="47"/>
        <v>12004.42</v>
      </c>
      <c r="P173" s="5">
        <f t="shared" si="48"/>
        <v>83.364027777777778</v>
      </c>
      <c r="Q173" s="5">
        <f t="shared" si="49"/>
        <v>1000.3683333333333</v>
      </c>
      <c r="R173" s="5">
        <f t="shared" si="50"/>
        <v>1000.3683333333333</v>
      </c>
      <c r="S173" s="5">
        <f t="shared" si="51"/>
        <v>0</v>
      </c>
      <c r="T173" s="5">
        <f t="shared" si="52"/>
        <v>1000.3683333333333</v>
      </c>
      <c r="U173" s="5">
        <f t="shared" si="53"/>
        <v>11004.051666666666</v>
      </c>
    </row>
    <row r="174" spans="2:21">
      <c r="B174">
        <v>13</v>
      </c>
      <c r="C174" t="s">
        <v>1063</v>
      </c>
      <c r="E174">
        <v>204287</v>
      </c>
      <c r="G174">
        <v>2018</v>
      </c>
      <c r="H174">
        <v>10</v>
      </c>
      <c r="I174">
        <v>0</v>
      </c>
      <c r="J174" t="s">
        <v>30</v>
      </c>
      <c r="K174" s="45">
        <v>12</v>
      </c>
      <c r="L174">
        <f t="shared" si="45"/>
        <v>2030</v>
      </c>
      <c r="M174" s="15">
        <f t="shared" si="46"/>
        <v>2030.8333333333333</v>
      </c>
      <c r="N174" s="5">
        <v>13897.5</v>
      </c>
      <c r="O174" s="5">
        <f t="shared" si="47"/>
        <v>13897.5</v>
      </c>
      <c r="P174" s="5">
        <f t="shared" si="48"/>
        <v>96.510416666666671</v>
      </c>
      <c r="Q174" s="5">
        <f t="shared" si="49"/>
        <v>1158.125</v>
      </c>
      <c r="R174" s="5">
        <f t="shared" si="50"/>
        <v>1158.125</v>
      </c>
      <c r="S174" s="5">
        <f t="shared" si="51"/>
        <v>0</v>
      </c>
      <c r="T174" s="5">
        <f t="shared" si="52"/>
        <v>1158.125</v>
      </c>
      <c r="U174" s="5">
        <f t="shared" si="53"/>
        <v>12739.375</v>
      </c>
    </row>
    <row r="175" spans="2:21">
      <c r="B175">
        <v>12</v>
      </c>
      <c r="C175" t="s">
        <v>1052</v>
      </c>
      <c r="E175">
        <v>202810</v>
      </c>
      <c r="G175">
        <v>2018</v>
      </c>
      <c r="H175">
        <v>8</v>
      </c>
      <c r="I175">
        <v>0</v>
      </c>
      <c r="J175" t="s">
        <v>30</v>
      </c>
      <c r="K175" s="45">
        <v>12</v>
      </c>
      <c r="L175">
        <f t="shared" si="45"/>
        <v>2030</v>
      </c>
      <c r="M175" s="15">
        <f t="shared" si="46"/>
        <v>2030.6666666666667</v>
      </c>
      <c r="N175" s="5">
        <v>12004.42</v>
      </c>
      <c r="O175" s="5">
        <f t="shared" si="47"/>
        <v>12004.42</v>
      </c>
      <c r="P175" s="5">
        <f t="shared" si="48"/>
        <v>83.364027777777778</v>
      </c>
      <c r="Q175" s="5">
        <f t="shared" si="49"/>
        <v>1000.3683333333333</v>
      </c>
      <c r="R175" s="5">
        <f t="shared" si="50"/>
        <v>1000.3683333333333</v>
      </c>
      <c r="S175" s="5">
        <f t="shared" si="51"/>
        <v>0</v>
      </c>
      <c r="T175" s="5">
        <f t="shared" si="52"/>
        <v>1000.3683333333333</v>
      </c>
      <c r="U175" s="5">
        <f t="shared" si="53"/>
        <v>11004.051666666666</v>
      </c>
    </row>
    <row r="176" spans="2:21">
      <c r="B176">
        <v>722</v>
      </c>
      <c r="C176" t="s">
        <v>144</v>
      </c>
      <c r="E176" t="s">
        <v>501</v>
      </c>
      <c r="G176">
        <v>2011</v>
      </c>
      <c r="H176">
        <v>1</v>
      </c>
      <c r="I176">
        <v>0</v>
      </c>
      <c r="J176" t="s">
        <v>30</v>
      </c>
      <c r="K176" s="45">
        <v>10</v>
      </c>
      <c r="L176">
        <f t="shared" si="45"/>
        <v>2021</v>
      </c>
      <c r="M176" s="15">
        <f t="shared" si="46"/>
        <v>2021.0833333333333</v>
      </c>
      <c r="N176" s="5">
        <v>0</v>
      </c>
      <c r="O176" s="5">
        <f t="shared" si="47"/>
        <v>0</v>
      </c>
      <c r="P176" s="5">
        <f t="shared" si="48"/>
        <v>0</v>
      </c>
      <c r="Q176" s="5">
        <f t="shared" si="49"/>
        <v>0</v>
      </c>
      <c r="R176" s="5">
        <f t="shared" si="50"/>
        <v>0</v>
      </c>
      <c r="S176" s="5">
        <f t="shared" si="51"/>
        <v>0</v>
      </c>
      <c r="T176" s="5">
        <f t="shared" si="52"/>
        <v>0</v>
      </c>
      <c r="U176" s="5">
        <f t="shared" si="53"/>
        <v>0</v>
      </c>
    </row>
    <row r="177" spans="1:21">
      <c r="B177">
        <v>170</v>
      </c>
      <c r="C177" t="s">
        <v>877</v>
      </c>
      <c r="E177">
        <v>182368</v>
      </c>
      <c r="G177">
        <v>2008</v>
      </c>
      <c r="H177">
        <v>11</v>
      </c>
      <c r="I177">
        <v>0</v>
      </c>
      <c r="J177" t="s">
        <v>30</v>
      </c>
      <c r="K177" s="45">
        <v>12</v>
      </c>
      <c r="L177">
        <f t="shared" si="45"/>
        <v>2020</v>
      </c>
      <c r="M177" s="15">
        <f t="shared" si="46"/>
        <v>2020.9166666666667</v>
      </c>
      <c r="N177" s="5">
        <v>41700</v>
      </c>
      <c r="O177" s="5">
        <f t="shared" si="47"/>
        <v>41700</v>
      </c>
      <c r="P177" s="5">
        <f t="shared" si="48"/>
        <v>289.58333333333331</v>
      </c>
      <c r="Q177" s="5">
        <f t="shared" si="49"/>
        <v>3475</v>
      </c>
      <c r="R177" s="5">
        <f t="shared" si="50"/>
        <v>3475</v>
      </c>
      <c r="S177" s="5">
        <f t="shared" si="51"/>
        <v>34750</v>
      </c>
      <c r="T177" s="5">
        <f t="shared" si="52"/>
        <v>38225</v>
      </c>
      <c r="U177" s="5">
        <f t="shared" si="53"/>
        <v>3475</v>
      </c>
    </row>
    <row r="178" spans="1:21">
      <c r="B178">
        <v>24</v>
      </c>
      <c r="C178" t="s">
        <v>1168</v>
      </c>
      <c r="E178">
        <v>202731</v>
      </c>
      <c r="G178">
        <v>2018</v>
      </c>
      <c r="H178">
        <v>12</v>
      </c>
      <c r="I178">
        <v>0</v>
      </c>
      <c r="J178" t="s">
        <v>30</v>
      </c>
      <c r="K178" s="45">
        <v>12</v>
      </c>
      <c r="L178">
        <f t="shared" si="45"/>
        <v>2030</v>
      </c>
      <c r="M178" s="15">
        <f t="shared" si="46"/>
        <v>2031</v>
      </c>
      <c r="N178" s="5">
        <v>16555.669999999998</v>
      </c>
      <c r="O178" s="5">
        <f t="shared" si="47"/>
        <v>16555.669999999998</v>
      </c>
      <c r="P178" s="5">
        <f t="shared" si="48"/>
        <v>114.96993055555555</v>
      </c>
      <c r="Q178" s="5">
        <f t="shared" si="49"/>
        <v>1379.6391666666666</v>
      </c>
      <c r="R178" s="5">
        <f t="shared" si="50"/>
        <v>1379.6391666666666</v>
      </c>
      <c r="S178" s="5">
        <f t="shared" si="51"/>
        <v>0</v>
      </c>
      <c r="T178" s="5">
        <f t="shared" si="52"/>
        <v>1379.6391666666666</v>
      </c>
      <c r="U178" s="5">
        <f t="shared" si="53"/>
        <v>15176.030833333332</v>
      </c>
    </row>
    <row r="179" spans="1:21">
      <c r="B179">
        <v>24</v>
      </c>
      <c r="C179" t="s">
        <v>1169</v>
      </c>
      <c r="E179">
        <v>194617</v>
      </c>
      <c r="G179">
        <v>2018</v>
      </c>
      <c r="H179">
        <v>3</v>
      </c>
      <c r="I179">
        <v>0</v>
      </c>
      <c r="J179" t="s">
        <v>30</v>
      </c>
      <c r="K179" s="45">
        <v>12</v>
      </c>
      <c r="L179">
        <f t="shared" si="45"/>
        <v>2030</v>
      </c>
      <c r="M179" s="15">
        <f t="shared" si="46"/>
        <v>2030.25</v>
      </c>
      <c r="N179" s="5">
        <v>12066.72</v>
      </c>
      <c r="O179" s="5">
        <f t="shared" si="47"/>
        <v>12066.72</v>
      </c>
      <c r="P179" s="5">
        <f t="shared" si="48"/>
        <v>83.796666666666667</v>
      </c>
      <c r="Q179" s="5">
        <f t="shared" si="49"/>
        <v>1005.56</v>
      </c>
      <c r="R179" s="5">
        <f t="shared" si="50"/>
        <v>1005.56</v>
      </c>
      <c r="S179" s="5">
        <f t="shared" si="51"/>
        <v>0</v>
      </c>
      <c r="T179" s="5">
        <f t="shared" si="52"/>
        <v>1005.56</v>
      </c>
      <c r="U179" s="5">
        <f t="shared" si="53"/>
        <v>11061.16</v>
      </c>
    </row>
    <row r="180" spans="1:21">
      <c r="B180">
        <v>24</v>
      </c>
      <c r="C180" t="s">
        <v>1170</v>
      </c>
      <c r="E180">
        <v>194618</v>
      </c>
      <c r="G180">
        <v>2018</v>
      </c>
      <c r="H180">
        <v>3</v>
      </c>
      <c r="I180">
        <v>0</v>
      </c>
      <c r="J180" t="s">
        <v>30</v>
      </c>
      <c r="K180" s="45">
        <v>12</v>
      </c>
      <c r="L180">
        <f t="shared" si="45"/>
        <v>2030</v>
      </c>
      <c r="M180" s="15">
        <f t="shared" si="46"/>
        <v>2030.25</v>
      </c>
      <c r="N180" s="5">
        <v>11673.24</v>
      </c>
      <c r="O180" s="5">
        <f t="shared" si="47"/>
        <v>11673.24</v>
      </c>
      <c r="P180" s="5">
        <f t="shared" si="48"/>
        <v>81.064166666666665</v>
      </c>
      <c r="Q180" s="5">
        <f t="shared" si="49"/>
        <v>972.77</v>
      </c>
      <c r="R180" s="5">
        <f t="shared" si="50"/>
        <v>972.77</v>
      </c>
      <c r="S180" s="5">
        <f t="shared" si="51"/>
        <v>0</v>
      </c>
      <c r="T180" s="5">
        <f t="shared" si="52"/>
        <v>972.77</v>
      </c>
      <c r="U180" s="5">
        <f t="shared" si="53"/>
        <v>10700.47</v>
      </c>
    </row>
    <row r="181" spans="1:21">
      <c r="B181">
        <v>24</v>
      </c>
      <c r="C181" t="s">
        <v>1171</v>
      </c>
      <c r="E181">
        <v>194616</v>
      </c>
      <c r="G181">
        <v>2018</v>
      </c>
      <c r="H181">
        <v>3</v>
      </c>
      <c r="I181">
        <v>0</v>
      </c>
      <c r="J181" t="s">
        <v>30</v>
      </c>
      <c r="K181" s="45">
        <v>12</v>
      </c>
      <c r="L181">
        <f t="shared" si="45"/>
        <v>2030</v>
      </c>
      <c r="M181" s="15">
        <f t="shared" si="46"/>
        <v>2030.25</v>
      </c>
      <c r="N181" s="5">
        <v>12984.85</v>
      </c>
      <c r="O181" s="5">
        <f t="shared" si="47"/>
        <v>12984.85</v>
      </c>
      <c r="P181" s="5">
        <f t="shared" si="48"/>
        <v>90.172569444444449</v>
      </c>
      <c r="Q181" s="5">
        <f t="shared" si="49"/>
        <v>1082.0708333333334</v>
      </c>
      <c r="R181" s="5">
        <f t="shared" si="50"/>
        <v>1082.0708333333334</v>
      </c>
      <c r="S181" s="5">
        <f t="shared" si="51"/>
        <v>0</v>
      </c>
      <c r="T181" s="5">
        <f t="shared" si="52"/>
        <v>1082.0708333333334</v>
      </c>
      <c r="U181" s="5">
        <f t="shared" si="53"/>
        <v>11902.779166666667</v>
      </c>
    </row>
    <row r="183" spans="1:21">
      <c r="M183" s="15"/>
    </row>
    <row r="184" spans="1:21">
      <c r="L184" s="6" t="s">
        <v>450</v>
      </c>
      <c r="M184" s="36"/>
      <c r="N184" s="9">
        <f t="shared" ref="N184:U184" si="54">SUM(N13:N183)</f>
        <v>1799740.7589999987</v>
      </c>
      <c r="O184" s="9">
        <f t="shared" si="54"/>
        <v>1799740.7589999987</v>
      </c>
      <c r="P184" s="9">
        <f t="shared" si="54"/>
        <v>15292.934448412694</v>
      </c>
      <c r="Q184" s="9">
        <f t="shared" si="54"/>
        <v>183515.21338095242</v>
      </c>
      <c r="R184" s="9">
        <f t="shared" si="54"/>
        <v>131694.5777142857</v>
      </c>
      <c r="S184" s="9">
        <f t="shared" si="54"/>
        <v>881123.01549999986</v>
      </c>
      <c r="T184" s="9">
        <f t="shared" si="54"/>
        <v>1012817.5932142856</v>
      </c>
      <c r="U184" s="9">
        <f t="shared" si="54"/>
        <v>786923.1657857144</v>
      </c>
    </row>
    <row r="185" spans="1:21">
      <c r="M185" s="15"/>
    </row>
    <row r="186" spans="1:21">
      <c r="A186" s="4" t="s">
        <v>791</v>
      </c>
      <c r="B186" s="17"/>
      <c r="C186" s="17"/>
      <c r="M186" s="15"/>
    </row>
    <row r="187" spans="1:21">
      <c r="B187" s="17">
        <v>42</v>
      </c>
      <c r="C187" s="17" t="s">
        <v>792</v>
      </c>
      <c r="E187">
        <v>126210</v>
      </c>
      <c r="G187">
        <v>2015</v>
      </c>
      <c r="H187">
        <v>9</v>
      </c>
      <c r="I187">
        <v>0</v>
      </c>
      <c r="J187" t="s">
        <v>30</v>
      </c>
      <c r="K187" s="45">
        <v>7</v>
      </c>
      <c r="L187">
        <f t="shared" ref="L187:L233" si="55">G187+K187</f>
        <v>2022</v>
      </c>
      <c r="M187" s="15">
        <f t="shared" ref="M187:M233" si="56">+L187+(H187/12)</f>
        <v>2022.75</v>
      </c>
      <c r="N187" s="5">
        <v>24186.240000000002</v>
      </c>
      <c r="O187" s="5">
        <f t="shared" ref="O187:O233" si="57">N187-N187*I187</f>
        <v>24186.240000000002</v>
      </c>
      <c r="P187" s="5">
        <f t="shared" ref="P187:P233" si="58">O187/K187/12</f>
        <v>287.93142857142863</v>
      </c>
      <c r="Q187" s="5">
        <f t="shared" ref="Q187:Q233" si="59">P187*12</f>
        <v>3455.1771428571437</v>
      </c>
      <c r="R187" s="5">
        <f t="shared" ref="R187:R196" si="60">+IF(M187&lt;=$O$5,0,IF(L187&gt;$O$4,Q187,(P187*H187)))</f>
        <v>3455.1771428571437</v>
      </c>
      <c r="S187" s="5">
        <f t="shared" ref="S187:S196" si="61">+IF(R187=0,N187,IF($O$3-G187&lt;1,0,(($O$3-G187)*Q187)))</f>
        <v>10365.53142857143</v>
      </c>
      <c r="T187" s="5">
        <f t="shared" ref="T187:T196" si="62">+IF(R187=0,S187,S187+R187)</f>
        <v>13820.708571428575</v>
      </c>
      <c r="U187" s="5">
        <f t="shared" ref="U187:U196" si="63">+N187-T187</f>
        <v>10365.531428571427</v>
      </c>
    </row>
    <row r="188" spans="1:21">
      <c r="B188" s="17">
        <f>30-5</f>
        <v>25</v>
      </c>
      <c r="C188" s="17" t="s">
        <v>380</v>
      </c>
      <c r="E188">
        <v>75721</v>
      </c>
      <c r="G188">
        <v>2010</v>
      </c>
      <c r="H188">
        <v>6</v>
      </c>
      <c r="I188">
        <v>0</v>
      </c>
      <c r="J188" t="s">
        <v>30</v>
      </c>
      <c r="K188" s="45" t="s">
        <v>35</v>
      </c>
      <c r="L188">
        <f t="shared" ref="L188:L196" si="64">G188+K188</f>
        <v>2020</v>
      </c>
      <c r="M188" s="15">
        <f t="shared" ref="M188:M196" si="65">+L188+(H188/12)</f>
        <v>2020.5</v>
      </c>
      <c r="N188" s="5">
        <f>(8224.76/30)*25</f>
        <v>6853.9666666666662</v>
      </c>
      <c r="O188" s="5">
        <f t="shared" ref="O188:O196" si="66">N188-N188*I188</f>
        <v>6853.9666666666662</v>
      </c>
      <c r="P188" s="5">
        <f t="shared" ref="P188:P196" si="67">O188/K188/12</f>
        <v>57.116388888888885</v>
      </c>
      <c r="Q188" s="5">
        <f t="shared" ref="Q188:Q196" si="68">P188*12</f>
        <v>685.39666666666665</v>
      </c>
      <c r="R188" s="5">
        <f t="shared" si="60"/>
        <v>685.39666666666665</v>
      </c>
      <c r="S188" s="5">
        <f t="shared" si="61"/>
        <v>5483.1733333333332</v>
      </c>
      <c r="T188" s="5">
        <f t="shared" si="62"/>
        <v>6168.57</v>
      </c>
      <c r="U188" s="5">
        <f t="shared" si="63"/>
        <v>685.39666666666653</v>
      </c>
    </row>
    <row r="189" spans="1:21">
      <c r="B189" s="17">
        <v>13</v>
      </c>
      <c r="C189" s="17" t="s">
        <v>382</v>
      </c>
      <c r="E189">
        <v>75009</v>
      </c>
      <c r="G189">
        <v>2010</v>
      </c>
      <c r="H189">
        <v>6</v>
      </c>
      <c r="I189">
        <v>0</v>
      </c>
      <c r="J189" t="s">
        <v>30</v>
      </c>
      <c r="K189" s="45" t="s">
        <v>35</v>
      </c>
      <c r="L189">
        <f t="shared" si="64"/>
        <v>2020</v>
      </c>
      <c r="M189" s="15">
        <f t="shared" si="65"/>
        <v>2020.5</v>
      </c>
      <c r="N189" s="5">
        <v>6771.14</v>
      </c>
      <c r="O189" s="5">
        <f t="shared" si="66"/>
        <v>6771.14</v>
      </c>
      <c r="P189" s="5">
        <f t="shared" si="67"/>
        <v>56.426166666666667</v>
      </c>
      <c r="Q189" s="5">
        <f t="shared" si="68"/>
        <v>677.11400000000003</v>
      </c>
      <c r="R189" s="5">
        <f t="shared" si="60"/>
        <v>677.11400000000003</v>
      </c>
      <c r="S189" s="5">
        <f t="shared" si="61"/>
        <v>5416.9120000000003</v>
      </c>
      <c r="T189" s="5">
        <f t="shared" si="62"/>
        <v>6094.0259999999998</v>
      </c>
      <c r="U189" s="5">
        <f t="shared" si="63"/>
        <v>677.11400000000049</v>
      </c>
    </row>
    <row r="190" spans="1:21">
      <c r="B190" s="17">
        <v>16</v>
      </c>
      <c r="C190" s="17" t="s">
        <v>76</v>
      </c>
      <c r="G190">
        <v>2008</v>
      </c>
      <c r="H190">
        <v>3</v>
      </c>
      <c r="I190">
        <v>0</v>
      </c>
      <c r="J190" t="s">
        <v>30</v>
      </c>
      <c r="K190" s="45" t="s">
        <v>35</v>
      </c>
      <c r="L190">
        <f t="shared" si="64"/>
        <v>2018</v>
      </c>
      <c r="M190" s="15">
        <f t="shared" si="65"/>
        <v>2018.25</v>
      </c>
      <c r="N190" s="5">
        <v>5543.01</v>
      </c>
      <c r="O190" s="5">
        <f t="shared" si="66"/>
        <v>5543.01</v>
      </c>
      <c r="P190" s="5">
        <f t="shared" si="67"/>
        <v>46.191750000000006</v>
      </c>
      <c r="Q190" s="5">
        <f t="shared" si="68"/>
        <v>554.30100000000004</v>
      </c>
      <c r="R190" s="5">
        <f t="shared" si="60"/>
        <v>0</v>
      </c>
      <c r="S190" s="5">
        <f t="shared" si="61"/>
        <v>5543.01</v>
      </c>
      <c r="T190" s="5">
        <f t="shared" si="62"/>
        <v>5543.01</v>
      </c>
      <c r="U190" s="5">
        <f t="shared" si="63"/>
        <v>0</v>
      </c>
    </row>
    <row r="191" spans="1:21">
      <c r="B191" s="17">
        <v>16</v>
      </c>
      <c r="C191" s="17" t="s">
        <v>76</v>
      </c>
      <c r="G191">
        <v>2005</v>
      </c>
      <c r="H191">
        <v>3</v>
      </c>
      <c r="I191">
        <v>0</v>
      </c>
      <c r="J191" t="s">
        <v>30</v>
      </c>
      <c r="K191" s="45" t="s">
        <v>35</v>
      </c>
      <c r="L191">
        <f t="shared" si="64"/>
        <v>2015</v>
      </c>
      <c r="M191" s="15">
        <f t="shared" si="65"/>
        <v>2015.25</v>
      </c>
      <c r="N191" s="5">
        <v>5559.68</v>
      </c>
      <c r="O191" s="5">
        <f t="shared" si="66"/>
        <v>5559.68</v>
      </c>
      <c r="P191" s="5">
        <f t="shared" si="67"/>
        <v>46.330666666666673</v>
      </c>
      <c r="Q191" s="5">
        <f t="shared" si="68"/>
        <v>555.96800000000007</v>
      </c>
      <c r="R191" s="5">
        <f t="shared" si="60"/>
        <v>0</v>
      </c>
      <c r="S191" s="5">
        <f t="shared" si="61"/>
        <v>5559.68</v>
      </c>
      <c r="T191" s="5">
        <f t="shared" si="62"/>
        <v>5559.68</v>
      </c>
      <c r="U191" s="5">
        <f t="shared" si="63"/>
        <v>0</v>
      </c>
    </row>
    <row r="192" spans="1:21">
      <c r="B192" s="17">
        <v>17</v>
      </c>
      <c r="C192" s="17" t="s">
        <v>76</v>
      </c>
      <c r="G192">
        <v>2004</v>
      </c>
      <c r="H192">
        <v>8</v>
      </c>
      <c r="I192">
        <v>0</v>
      </c>
      <c r="J192" t="s">
        <v>30</v>
      </c>
      <c r="K192" s="45" t="s">
        <v>35</v>
      </c>
      <c r="L192">
        <f t="shared" si="64"/>
        <v>2014</v>
      </c>
      <c r="M192" s="15">
        <f t="shared" si="65"/>
        <v>2014.6666666666667</v>
      </c>
      <c r="N192" s="5">
        <v>5722.88</v>
      </c>
      <c r="O192" s="5">
        <f t="shared" si="66"/>
        <v>5722.88</v>
      </c>
      <c r="P192" s="5">
        <f t="shared" si="67"/>
        <v>47.690666666666665</v>
      </c>
      <c r="Q192" s="5">
        <f t="shared" si="68"/>
        <v>572.28800000000001</v>
      </c>
      <c r="R192" s="5">
        <f t="shared" si="60"/>
        <v>0</v>
      </c>
      <c r="S192" s="5">
        <f t="shared" si="61"/>
        <v>5722.88</v>
      </c>
      <c r="T192" s="5">
        <f t="shared" si="62"/>
        <v>5722.88</v>
      </c>
      <c r="U192" s="5">
        <f t="shared" si="63"/>
        <v>0</v>
      </c>
    </row>
    <row r="193" spans="2:21">
      <c r="B193" s="17">
        <v>19</v>
      </c>
      <c r="C193" s="17" t="s">
        <v>76</v>
      </c>
      <c r="G193">
        <v>2001</v>
      </c>
      <c r="H193">
        <v>7</v>
      </c>
      <c r="I193">
        <v>0</v>
      </c>
      <c r="J193" t="s">
        <v>30</v>
      </c>
      <c r="K193" s="45" t="s">
        <v>35</v>
      </c>
      <c r="L193">
        <f t="shared" si="64"/>
        <v>2011</v>
      </c>
      <c r="M193" s="15">
        <f t="shared" si="65"/>
        <v>2011.5833333333333</v>
      </c>
      <c r="N193" s="5">
        <v>6576.96</v>
      </c>
      <c r="O193" s="5">
        <f t="shared" si="66"/>
        <v>6576.96</v>
      </c>
      <c r="P193" s="5">
        <f t="shared" si="67"/>
        <v>54.808</v>
      </c>
      <c r="Q193" s="5">
        <f t="shared" si="68"/>
        <v>657.69600000000003</v>
      </c>
      <c r="R193" s="5">
        <f t="shared" si="60"/>
        <v>0</v>
      </c>
      <c r="S193" s="5">
        <f t="shared" si="61"/>
        <v>6576.96</v>
      </c>
      <c r="T193" s="5">
        <f t="shared" si="62"/>
        <v>6576.96</v>
      </c>
      <c r="U193" s="5">
        <f t="shared" si="63"/>
        <v>0</v>
      </c>
    </row>
    <row r="194" spans="2:21">
      <c r="B194" s="17">
        <v>24</v>
      </c>
      <c r="C194" s="17" t="s">
        <v>76</v>
      </c>
      <c r="G194">
        <v>2006</v>
      </c>
      <c r="H194">
        <v>9</v>
      </c>
      <c r="I194">
        <v>0</v>
      </c>
      <c r="J194" t="s">
        <v>30</v>
      </c>
      <c r="K194" s="45" t="s">
        <v>35</v>
      </c>
      <c r="L194">
        <f t="shared" si="64"/>
        <v>2016</v>
      </c>
      <c r="M194" s="15">
        <f t="shared" si="65"/>
        <v>2016.75</v>
      </c>
      <c r="N194" s="5">
        <v>8290.56</v>
      </c>
      <c r="O194" s="5">
        <f t="shared" si="66"/>
        <v>8290.56</v>
      </c>
      <c r="P194" s="5">
        <f t="shared" si="67"/>
        <v>69.087999999999994</v>
      </c>
      <c r="Q194" s="5">
        <f t="shared" si="68"/>
        <v>829.05599999999993</v>
      </c>
      <c r="R194" s="5">
        <f t="shared" si="60"/>
        <v>0</v>
      </c>
      <c r="S194" s="5">
        <f t="shared" si="61"/>
        <v>8290.56</v>
      </c>
      <c r="T194" s="5">
        <f t="shared" si="62"/>
        <v>8290.56</v>
      </c>
      <c r="U194" s="5">
        <f t="shared" si="63"/>
        <v>0</v>
      </c>
    </row>
    <row r="195" spans="2:21">
      <c r="B195" s="17">
        <v>28</v>
      </c>
      <c r="C195" s="17" t="s">
        <v>76</v>
      </c>
      <c r="G195">
        <v>2008</v>
      </c>
      <c r="H195">
        <v>3</v>
      </c>
      <c r="I195">
        <v>0</v>
      </c>
      <c r="J195" t="s">
        <v>30</v>
      </c>
      <c r="K195" s="45" t="s">
        <v>35</v>
      </c>
      <c r="L195">
        <f t="shared" si="64"/>
        <v>2018</v>
      </c>
      <c r="M195" s="15">
        <f t="shared" si="65"/>
        <v>2018.25</v>
      </c>
      <c r="N195" s="5">
        <v>10840</v>
      </c>
      <c r="O195" s="5">
        <f t="shared" si="66"/>
        <v>10840</v>
      </c>
      <c r="P195" s="5">
        <f t="shared" si="67"/>
        <v>90.333333333333329</v>
      </c>
      <c r="Q195" s="5">
        <f t="shared" si="68"/>
        <v>1084</v>
      </c>
      <c r="R195" s="5">
        <f t="shared" si="60"/>
        <v>0</v>
      </c>
      <c r="S195" s="5">
        <f t="shared" si="61"/>
        <v>10840</v>
      </c>
      <c r="T195" s="5">
        <f t="shared" si="62"/>
        <v>10840</v>
      </c>
      <c r="U195" s="5">
        <f t="shared" si="63"/>
        <v>0</v>
      </c>
    </row>
    <row r="196" spans="2:21">
      <c r="B196" s="17">
        <v>41</v>
      </c>
      <c r="C196" s="17" t="s">
        <v>76</v>
      </c>
      <c r="G196">
        <v>2008</v>
      </c>
      <c r="H196">
        <v>2</v>
      </c>
      <c r="I196">
        <v>0</v>
      </c>
      <c r="J196" t="s">
        <v>30</v>
      </c>
      <c r="K196" s="45" t="s">
        <v>35</v>
      </c>
      <c r="L196">
        <f t="shared" si="64"/>
        <v>2018</v>
      </c>
      <c r="M196" s="15">
        <f t="shared" si="65"/>
        <v>2018.1666666666667</v>
      </c>
      <c r="N196" s="5">
        <v>13857.52</v>
      </c>
      <c r="O196" s="5">
        <f t="shared" si="66"/>
        <v>13857.52</v>
      </c>
      <c r="P196" s="5">
        <f t="shared" si="67"/>
        <v>115.47933333333333</v>
      </c>
      <c r="Q196" s="5">
        <f t="shared" si="68"/>
        <v>1385.752</v>
      </c>
      <c r="R196" s="5">
        <f t="shared" si="60"/>
        <v>0</v>
      </c>
      <c r="S196" s="5">
        <f t="shared" si="61"/>
        <v>13857.52</v>
      </c>
      <c r="T196" s="5">
        <f t="shared" si="62"/>
        <v>13857.52</v>
      </c>
      <c r="U196" s="5">
        <f t="shared" si="63"/>
        <v>0</v>
      </c>
    </row>
    <row r="197" spans="2:21">
      <c r="B197" s="17">
        <v>36</v>
      </c>
      <c r="C197" s="17" t="s">
        <v>793</v>
      </c>
      <c r="E197">
        <v>126209</v>
      </c>
      <c r="G197">
        <v>2015</v>
      </c>
      <c r="H197">
        <v>9</v>
      </c>
      <c r="I197">
        <v>0</v>
      </c>
      <c r="J197" t="s">
        <v>30</v>
      </c>
      <c r="K197" s="45">
        <v>7</v>
      </c>
      <c r="L197">
        <f t="shared" si="55"/>
        <v>2022</v>
      </c>
      <c r="M197" s="15">
        <f t="shared" si="56"/>
        <v>2022.75</v>
      </c>
      <c r="N197" s="5">
        <v>24545.279999999999</v>
      </c>
      <c r="O197" s="5">
        <f t="shared" si="57"/>
        <v>24545.279999999999</v>
      </c>
      <c r="P197" s="5">
        <f t="shared" si="58"/>
        <v>292.20571428571424</v>
      </c>
      <c r="Q197" s="5">
        <f t="shared" si="59"/>
        <v>3506.4685714285706</v>
      </c>
      <c r="R197" s="5">
        <f t="shared" ref="R197:R233" si="69">+IF(M197&lt;=$O$5,0,IF(L197&gt;$O$4,Q197,(P197*H197)))</f>
        <v>3506.4685714285706</v>
      </c>
      <c r="S197" s="5">
        <f t="shared" ref="S197:S233" si="70">+IF(R197=0,N197,IF($O$3-G197&lt;1,0,(($O$3-G197)*Q197)))</f>
        <v>10519.405714285713</v>
      </c>
      <c r="T197" s="5">
        <f t="shared" ref="T197:T233" si="71">+IF(R197=0,S197,S197+R197)</f>
        <v>14025.874285714282</v>
      </c>
      <c r="U197" s="5">
        <f t="shared" ref="U197:U233" si="72">+N197-T197</f>
        <v>10519.405714285716</v>
      </c>
    </row>
    <row r="198" spans="2:21">
      <c r="B198" s="17">
        <v>27</v>
      </c>
      <c r="C198" s="17" t="s">
        <v>110</v>
      </c>
      <c r="E198" t="s">
        <v>503</v>
      </c>
      <c r="G198">
        <v>2011</v>
      </c>
      <c r="H198">
        <v>6</v>
      </c>
      <c r="I198">
        <v>0</v>
      </c>
      <c r="J198" t="s">
        <v>30</v>
      </c>
      <c r="K198" s="45">
        <v>10</v>
      </c>
      <c r="L198">
        <f t="shared" ref="L198:L212" si="73">G198+K198</f>
        <v>2021</v>
      </c>
      <c r="M198" s="15">
        <f t="shared" ref="M198:M212" si="74">+L198+(H198/12)</f>
        <v>2021.5</v>
      </c>
      <c r="N198" s="5">
        <f>12054.44+7090.84</f>
        <v>19145.28</v>
      </c>
      <c r="O198" s="5">
        <f t="shared" ref="O198:O212" si="75">N198-N198*I198</f>
        <v>19145.28</v>
      </c>
      <c r="P198" s="5">
        <f t="shared" ref="P198:P212" si="76">O198/K198/12</f>
        <v>159.54399999999998</v>
      </c>
      <c r="Q198" s="5">
        <f t="shared" ref="Q198:Q212" si="77">P198*12</f>
        <v>1914.5279999999998</v>
      </c>
      <c r="R198" s="5">
        <f t="shared" ref="R198:R212" si="78">+IF(M198&lt;=$O$5,0,IF(L198&gt;$O$4,Q198,(P198*H198)))</f>
        <v>1914.5279999999998</v>
      </c>
      <c r="S198" s="5">
        <f t="shared" ref="S198:S212" si="79">+IF(R198=0,N198,IF($O$3-G198&lt;1,0,(($O$3-G198)*Q198)))</f>
        <v>13401.695999999998</v>
      </c>
      <c r="T198" s="5">
        <f t="shared" ref="T198:T212" si="80">+IF(R198=0,S198,S198+R198)</f>
        <v>15316.223999999998</v>
      </c>
      <c r="U198" s="5">
        <f t="shared" ref="U198:U212" si="81">+N198-T198</f>
        <v>3829.0560000000005</v>
      </c>
    </row>
    <row r="199" spans="2:21">
      <c r="B199" s="17">
        <v>10</v>
      </c>
      <c r="C199" s="17" t="s">
        <v>111</v>
      </c>
      <c r="G199">
        <v>2005</v>
      </c>
      <c r="H199">
        <v>8</v>
      </c>
      <c r="I199">
        <v>0</v>
      </c>
      <c r="J199" t="s">
        <v>30</v>
      </c>
      <c r="K199" s="45" t="s">
        <v>35</v>
      </c>
      <c r="L199">
        <f t="shared" si="73"/>
        <v>2015</v>
      </c>
      <c r="M199" s="15">
        <f t="shared" si="74"/>
        <v>2015.6666666666667</v>
      </c>
      <c r="N199" s="5">
        <v>4093.45</v>
      </c>
      <c r="O199" s="5">
        <f t="shared" si="75"/>
        <v>4093.45</v>
      </c>
      <c r="P199" s="5">
        <f t="shared" si="76"/>
        <v>34.112083333333331</v>
      </c>
      <c r="Q199" s="5">
        <f t="shared" si="77"/>
        <v>409.34499999999997</v>
      </c>
      <c r="R199" s="5">
        <f t="shared" si="78"/>
        <v>0</v>
      </c>
      <c r="S199" s="5">
        <f t="shared" si="79"/>
        <v>4093.45</v>
      </c>
      <c r="T199" s="5">
        <f t="shared" si="80"/>
        <v>4093.45</v>
      </c>
      <c r="U199" s="5">
        <f t="shared" si="81"/>
        <v>0</v>
      </c>
    </row>
    <row r="200" spans="2:21">
      <c r="B200" s="17">
        <v>10</v>
      </c>
      <c r="C200" s="17" t="s">
        <v>111</v>
      </c>
      <c r="G200">
        <v>2004</v>
      </c>
      <c r="H200">
        <v>3</v>
      </c>
      <c r="I200">
        <v>0</v>
      </c>
      <c r="J200" t="s">
        <v>30</v>
      </c>
      <c r="K200" s="45" t="s">
        <v>35</v>
      </c>
      <c r="L200">
        <f t="shared" si="73"/>
        <v>2014</v>
      </c>
      <c r="M200" s="15">
        <f t="shared" si="74"/>
        <v>2014.25</v>
      </c>
      <c r="N200" s="5">
        <v>4127.87</v>
      </c>
      <c r="O200" s="5">
        <f t="shared" si="75"/>
        <v>4127.87</v>
      </c>
      <c r="P200" s="5">
        <f t="shared" si="76"/>
        <v>34.398916666666665</v>
      </c>
      <c r="Q200" s="5">
        <f t="shared" si="77"/>
        <v>412.78699999999998</v>
      </c>
      <c r="R200" s="5">
        <f t="shared" si="78"/>
        <v>0</v>
      </c>
      <c r="S200" s="5">
        <f t="shared" si="79"/>
        <v>4127.87</v>
      </c>
      <c r="T200" s="5">
        <f t="shared" si="80"/>
        <v>4127.87</v>
      </c>
      <c r="U200" s="5">
        <f t="shared" si="81"/>
        <v>0</v>
      </c>
    </row>
    <row r="201" spans="2:21">
      <c r="B201" s="17">
        <v>10</v>
      </c>
      <c r="C201" s="17" t="s">
        <v>111</v>
      </c>
      <c r="G201">
        <v>2005</v>
      </c>
      <c r="H201">
        <v>8</v>
      </c>
      <c r="I201">
        <v>0</v>
      </c>
      <c r="J201" t="s">
        <v>30</v>
      </c>
      <c r="K201" s="45" t="s">
        <v>35</v>
      </c>
      <c r="L201">
        <f t="shared" si="73"/>
        <v>2015</v>
      </c>
      <c r="M201" s="15">
        <f t="shared" si="74"/>
        <v>2015.6666666666667</v>
      </c>
      <c r="N201" s="5">
        <v>4204.21</v>
      </c>
      <c r="O201" s="5">
        <f t="shared" si="75"/>
        <v>4204.21</v>
      </c>
      <c r="P201" s="5">
        <f t="shared" si="76"/>
        <v>35.035083333333333</v>
      </c>
      <c r="Q201" s="5">
        <f t="shared" si="77"/>
        <v>420.42099999999999</v>
      </c>
      <c r="R201" s="5">
        <f t="shared" si="78"/>
        <v>0</v>
      </c>
      <c r="S201" s="5">
        <f t="shared" si="79"/>
        <v>4204.21</v>
      </c>
      <c r="T201" s="5">
        <f t="shared" si="80"/>
        <v>4204.21</v>
      </c>
      <c r="U201" s="5">
        <f t="shared" si="81"/>
        <v>0</v>
      </c>
    </row>
    <row r="202" spans="2:21">
      <c r="B202" s="17">
        <v>14</v>
      </c>
      <c r="C202" s="17" t="s">
        <v>111</v>
      </c>
      <c r="G202">
        <v>2003</v>
      </c>
      <c r="H202">
        <v>7</v>
      </c>
      <c r="I202">
        <v>0</v>
      </c>
      <c r="J202" t="s">
        <v>30</v>
      </c>
      <c r="K202" s="45" t="s">
        <v>35</v>
      </c>
      <c r="L202">
        <f t="shared" si="73"/>
        <v>2013</v>
      </c>
      <c r="M202" s="15">
        <f t="shared" si="74"/>
        <v>2013.5833333333333</v>
      </c>
      <c r="N202" s="5">
        <v>5679.36</v>
      </c>
      <c r="O202" s="5">
        <f t="shared" si="75"/>
        <v>5679.36</v>
      </c>
      <c r="P202" s="5">
        <f t="shared" si="76"/>
        <v>47.327999999999996</v>
      </c>
      <c r="Q202" s="5">
        <f t="shared" si="77"/>
        <v>567.93599999999992</v>
      </c>
      <c r="R202" s="5">
        <f t="shared" si="78"/>
        <v>0</v>
      </c>
      <c r="S202" s="5">
        <f t="shared" si="79"/>
        <v>5679.36</v>
      </c>
      <c r="T202" s="5">
        <f t="shared" si="80"/>
        <v>5679.36</v>
      </c>
      <c r="U202" s="5">
        <f t="shared" si="81"/>
        <v>0</v>
      </c>
    </row>
    <row r="203" spans="2:21">
      <c r="B203" s="17">
        <v>16</v>
      </c>
      <c r="C203" s="17" t="s">
        <v>111</v>
      </c>
      <c r="G203">
        <v>2004</v>
      </c>
      <c r="H203">
        <v>11</v>
      </c>
      <c r="I203">
        <v>0</v>
      </c>
      <c r="J203" t="s">
        <v>30</v>
      </c>
      <c r="K203" s="45" t="s">
        <v>35</v>
      </c>
      <c r="L203">
        <f t="shared" si="73"/>
        <v>2014</v>
      </c>
      <c r="M203" s="15">
        <f t="shared" si="74"/>
        <v>2014.9166666666667</v>
      </c>
      <c r="N203" s="5">
        <v>6528</v>
      </c>
      <c r="O203" s="5">
        <f t="shared" si="75"/>
        <v>6528</v>
      </c>
      <c r="P203" s="5">
        <f t="shared" si="76"/>
        <v>54.4</v>
      </c>
      <c r="Q203" s="5">
        <f t="shared" si="77"/>
        <v>652.79999999999995</v>
      </c>
      <c r="R203" s="5">
        <f t="shared" si="78"/>
        <v>0</v>
      </c>
      <c r="S203" s="5">
        <f t="shared" si="79"/>
        <v>6528</v>
      </c>
      <c r="T203" s="5">
        <f t="shared" si="80"/>
        <v>6528</v>
      </c>
      <c r="U203" s="5">
        <f t="shared" si="81"/>
        <v>0</v>
      </c>
    </row>
    <row r="204" spans="2:21">
      <c r="B204" s="17">
        <v>16</v>
      </c>
      <c r="C204" s="17" t="s">
        <v>111</v>
      </c>
      <c r="G204">
        <v>2005</v>
      </c>
      <c r="H204">
        <v>3</v>
      </c>
      <c r="I204">
        <v>0</v>
      </c>
      <c r="J204" t="s">
        <v>30</v>
      </c>
      <c r="K204" s="45" t="s">
        <v>35</v>
      </c>
      <c r="L204">
        <f t="shared" si="73"/>
        <v>2015</v>
      </c>
      <c r="M204" s="15">
        <f t="shared" si="74"/>
        <v>2015.25</v>
      </c>
      <c r="N204" s="5">
        <v>6658.56</v>
      </c>
      <c r="O204" s="5">
        <f t="shared" si="75"/>
        <v>6658.56</v>
      </c>
      <c r="P204" s="5">
        <f t="shared" si="76"/>
        <v>55.488</v>
      </c>
      <c r="Q204" s="5">
        <f t="shared" si="77"/>
        <v>665.85599999999999</v>
      </c>
      <c r="R204" s="5">
        <f t="shared" si="78"/>
        <v>0</v>
      </c>
      <c r="S204" s="5">
        <f t="shared" si="79"/>
        <v>6658.56</v>
      </c>
      <c r="T204" s="5">
        <f t="shared" si="80"/>
        <v>6658.56</v>
      </c>
      <c r="U204" s="5">
        <f t="shared" si="81"/>
        <v>0</v>
      </c>
    </row>
    <row r="205" spans="2:21">
      <c r="B205" s="17">
        <v>17</v>
      </c>
      <c r="C205" s="17" t="s">
        <v>111</v>
      </c>
      <c r="G205">
        <v>2004</v>
      </c>
      <c r="H205">
        <v>7</v>
      </c>
      <c r="I205">
        <v>0</v>
      </c>
      <c r="J205" t="s">
        <v>30</v>
      </c>
      <c r="K205" s="45" t="s">
        <v>35</v>
      </c>
      <c r="L205">
        <f t="shared" si="73"/>
        <v>2014</v>
      </c>
      <c r="M205" s="15">
        <f t="shared" si="74"/>
        <v>2014.5833333333333</v>
      </c>
      <c r="N205" s="5">
        <v>6767.36</v>
      </c>
      <c r="O205" s="5">
        <f t="shared" si="75"/>
        <v>6767.36</v>
      </c>
      <c r="P205" s="5">
        <f t="shared" si="76"/>
        <v>56.394666666666666</v>
      </c>
      <c r="Q205" s="5">
        <f t="shared" si="77"/>
        <v>676.73599999999999</v>
      </c>
      <c r="R205" s="5">
        <f t="shared" si="78"/>
        <v>0</v>
      </c>
      <c r="S205" s="5">
        <f t="shared" si="79"/>
        <v>6767.36</v>
      </c>
      <c r="T205" s="5">
        <f t="shared" si="80"/>
        <v>6767.36</v>
      </c>
      <c r="U205" s="5">
        <f t="shared" si="81"/>
        <v>0</v>
      </c>
    </row>
    <row r="206" spans="2:21">
      <c r="B206" s="17">
        <v>17</v>
      </c>
      <c r="C206" s="17" t="s">
        <v>111</v>
      </c>
      <c r="G206">
        <v>2003</v>
      </c>
      <c r="H206">
        <v>6</v>
      </c>
      <c r="I206">
        <v>0</v>
      </c>
      <c r="J206" t="s">
        <v>30</v>
      </c>
      <c r="K206" s="45" t="s">
        <v>35</v>
      </c>
      <c r="L206">
        <f t="shared" si="73"/>
        <v>2013</v>
      </c>
      <c r="M206" s="15">
        <f t="shared" si="74"/>
        <v>2013.5</v>
      </c>
      <c r="N206" s="5">
        <v>6958.85</v>
      </c>
      <c r="O206" s="5">
        <f t="shared" si="75"/>
        <v>6958.85</v>
      </c>
      <c r="P206" s="5">
        <f t="shared" si="76"/>
        <v>57.990416666666668</v>
      </c>
      <c r="Q206" s="5">
        <f t="shared" si="77"/>
        <v>695.88499999999999</v>
      </c>
      <c r="R206" s="5">
        <f t="shared" si="78"/>
        <v>0</v>
      </c>
      <c r="S206" s="5">
        <f t="shared" si="79"/>
        <v>6958.85</v>
      </c>
      <c r="T206" s="5">
        <f t="shared" si="80"/>
        <v>6958.85</v>
      </c>
      <c r="U206" s="5">
        <f t="shared" si="81"/>
        <v>0</v>
      </c>
    </row>
    <row r="207" spans="2:21">
      <c r="B207" s="17">
        <v>17</v>
      </c>
      <c r="C207" s="17" t="s">
        <v>111</v>
      </c>
      <c r="G207">
        <v>2003</v>
      </c>
      <c r="H207">
        <v>6</v>
      </c>
      <c r="I207">
        <v>0</v>
      </c>
      <c r="J207" t="s">
        <v>30</v>
      </c>
      <c r="K207" s="45" t="s">
        <v>35</v>
      </c>
      <c r="L207">
        <f t="shared" si="73"/>
        <v>2013</v>
      </c>
      <c r="M207" s="15">
        <f t="shared" si="74"/>
        <v>2013.5</v>
      </c>
      <c r="N207" s="5">
        <v>6958.85</v>
      </c>
      <c r="O207" s="5">
        <f t="shared" si="75"/>
        <v>6958.85</v>
      </c>
      <c r="P207" s="5">
        <f t="shared" si="76"/>
        <v>57.990416666666668</v>
      </c>
      <c r="Q207" s="5">
        <f t="shared" si="77"/>
        <v>695.88499999999999</v>
      </c>
      <c r="R207" s="5">
        <f t="shared" si="78"/>
        <v>0</v>
      </c>
      <c r="S207" s="5">
        <f t="shared" si="79"/>
        <v>6958.85</v>
      </c>
      <c r="T207" s="5">
        <f t="shared" si="80"/>
        <v>6958.85</v>
      </c>
      <c r="U207" s="5">
        <f t="shared" si="81"/>
        <v>0</v>
      </c>
    </row>
    <row r="208" spans="2:21">
      <c r="B208" s="17">
        <v>18</v>
      </c>
      <c r="C208" s="17" t="s">
        <v>111</v>
      </c>
      <c r="G208">
        <v>2006</v>
      </c>
      <c r="H208">
        <v>9</v>
      </c>
      <c r="I208">
        <v>0</v>
      </c>
      <c r="J208" t="s">
        <v>30</v>
      </c>
      <c r="K208" s="45" t="s">
        <v>35</v>
      </c>
      <c r="L208">
        <f t="shared" si="73"/>
        <v>2016</v>
      </c>
      <c r="M208" s="15">
        <f t="shared" si="74"/>
        <v>2016.75</v>
      </c>
      <c r="N208" s="5">
        <v>7311.36</v>
      </c>
      <c r="O208" s="5">
        <f t="shared" si="75"/>
        <v>7311.36</v>
      </c>
      <c r="P208" s="5">
        <f t="shared" si="76"/>
        <v>60.927999999999997</v>
      </c>
      <c r="Q208" s="5">
        <f t="shared" si="77"/>
        <v>731.13599999999997</v>
      </c>
      <c r="R208" s="5">
        <f t="shared" si="78"/>
        <v>0</v>
      </c>
      <c r="S208" s="5">
        <f t="shared" si="79"/>
        <v>7311.36</v>
      </c>
      <c r="T208" s="5">
        <f t="shared" si="80"/>
        <v>7311.36</v>
      </c>
      <c r="U208" s="5">
        <f t="shared" si="81"/>
        <v>0</v>
      </c>
    </row>
    <row r="209" spans="2:21">
      <c r="B209" s="17">
        <v>40</v>
      </c>
      <c r="C209" s="17" t="s">
        <v>111</v>
      </c>
      <c r="G209">
        <v>2008</v>
      </c>
      <c r="H209">
        <v>4</v>
      </c>
      <c r="I209">
        <v>0</v>
      </c>
      <c r="J209" t="s">
        <v>30</v>
      </c>
      <c r="K209" s="45" t="s">
        <v>35</v>
      </c>
      <c r="L209">
        <f t="shared" si="73"/>
        <v>2018</v>
      </c>
      <c r="M209" s="15">
        <f t="shared" si="74"/>
        <v>2018.3333333333333</v>
      </c>
      <c r="N209" s="5">
        <v>16371.8</v>
      </c>
      <c r="O209" s="5">
        <f t="shared" si="75"/>
        <v>16371.8</v>
      </c>
      <c r="P209" s="5">
        <f t="shared" si="76"/>
        <v>136.43166666666664</v>
      </c>
      <c r="Q209" s="5">
        <f t="shared" si="77"/>
        <v>1637.1799999999998</v>
      </c>
      <c r="R209" s="5">
        <f t="shared" si="78"/>
        <v>0</v>
      </c>
      <c r="S209" s="5">
        <f t="shared" si="79"/>
        <v>16371.8</v>
      </c>
      <c r="T209" s="5">
        <f t="shared" si="80"/>
        <v>16371.8</v>
      </c>
      <c r="U209" s="5">
        <f t="shared" si="81"/>
        <v>0</v>
      </c>
    </row>
    <row r="210" spans="2:21">
      <c r="B210" s="17">
        <v>24</v>
      </c>
      <c r="C210" s="17" t="s">
        <v>1112</v>
      </c>
      <c r="E210">
        <v>215455</v>
      </c>
      <c r="G210">
        <v>2019</v>
      </c>
      <c r="H210">
        <v>5</v>
      </c>
      <c r="I210">
        <v>0</v>
      </c>
      <c r="J210" t="s">
        <v>30</v>
      </c>
      <c r="K210" s="45">
        <v>12</v>
      </c>
      <c r="L210">
        <f t="shared" si="73"/>
        <v>2031</v>
      </c>
      <c r="M210" s="15">
        <f t="shared" si="74"/>
        <v>2031.4166666666667</v>
      </c>
      <c r="N210" s="5">
        <v>17476.41</v>
      </c>
      <c r="O210" s="5">
        <f t="shared" si="75"/>
        <v>17476.41</v>
      </c>
      <c r="P210" s="5">
        <f t="shared" si="76"/>
        <v>121.36395833333334</v>
      </c>
      <c r="Q210" s="5">
        <f t="shared" si="77"/>
        <v>1456.3675000000001</v>
      </c>
      <c r="R210" s="5">
        <f t="shared" si="78"/>
        <v>1456.3675000000001</v>
      </c>
      <c r="S210" s="5">
        <f t="shared" si="79"/>
        <v>0</v>
      </c>
      <c r="T210" s="5">
        <f t="shared" si="80"/>
        <v>1456.3675000000001</v>
      </c>
      <c r="U210" s="5">
        <f t="shared" si="81"/>
        <v>16020.0425</v>
      </c>
    </row>
    <row r="211" spans="2:21">
      <c r="B211" s="17">
        <f>24+12</f>
        <v>36</v>
      </c>
      <c r="C211" s="17" t="s">
        <v>1112</v>
      </c>
      <c r="E211" t="s">
        <v>1134</v>
      </c>
      <c r="G211">
        <v>2019</v>
      </c>
      <c r="H211">
        <v>10</v>
      </c>
      <c r="I211">
        <v>0</v>
      </c>
      <c r="J211" t="s">
        <v>30</v>
      </c>
      <c r="K211" s="45">
        <v>12</v>
      </c>
      <c r="L211">
        <f t="shared" si="73"/>
        <v>2031</v>
      </c>
      <c r="M211" s="15">
        <f t="shared" si="74"/>
        <v>2031.8333333333333</v>
      </c>
      <c r="N211" s="5">
        <f>18126.31+10507.44</f>
        <v>28633.75</v>
      </c>
      <c r="O211" s="5">
        <f t="shared" si="75"/>
        <v>28633.75</v>
      </c>
      <c r="P211" s="5">
        <f t="shared" si="76"/>
        <v>198.84548611111111</v>
      </c>
      <c r="Q211" s="5">
        <f t="shared" si="77"/>
        <v>2386.1458333333335</v>
      </c>
      <c r="R211" s="5">
        <f t="shared" si="78"/>
        <v>2386.1458333333335</v>
      </c>
      <c r="S211" s="5">
        <f t="shared" si="79"/>
        <v>0</v>
      </c>
      <c r="T211" s="5">
        <f t="shared" si="80"/>
        <v>2386.1458333333335</v>
      </c>
      <c r="U211" s="5">
        <f t="shared" si="81"/>
        <v>26247.604166666668</v>
      </c>
    </row>
    <row r="212" spans="2:21">
      <c r="B212" s="17">
        <v>15</v>
      </c>
      <c r="C212" s="17" t="s">
        <v>845</v>
      </c>
      <c r="E212">
        <v>171565</v>
      </c>
      <c r="G212">
        <v>2016</v>
      </c>
      <c r="H212">
        <v>12</v>
      </c>
      <c r="I212">
        <v>0</v>
      </c>
      <c r="J212" t="s">
        <v>30</v>
      </c>
      <c r="K212" s="45">
        <v>7</v>
      </c>
      <c r="L212">
        <f t="shared" si="73"/>
        <v>2023</v>
      </c>
      <c r="M212" s="15">
        <f t="shared" si="74"/>
        <v>2024</v>
      </c>
      <c r="N212" s="5">
        <v>12240</v>
      </c>
      <c r="O212" s="5">
        <f t="shared" si="75"/>
        <v>12240</v>
      </c>
      <c r="P212" s="5">
        <f t="shared" si="76"/>
        <v>145.71428571428572</v>
      </c>
      <c r="Q212" s="5">
        <f t="shared" si="77"/>
        <v>1748.5714285714287</v>
      </c>
      <c r="R212" s="5">
        <f t="shared" si="78"/>
        <v>1748.5714285714287</v>
      </c>
      <c r="S212" s="5">
        <f t="shared" si="79"/>
        <v>3497.1428571428573</v>
      </c>
      <c r="T212" s="5">
        <f t="shared" si="80"/>
        <v>5245.7142857142862</v>
      </c>
      <c r="U212" s="5">
        <f t="shared" si="81"/>
        <v>6994.2857142857138</v>
      </c>
    </row>
    <row r="213" spans="2:21">
      <c r="B213" s="17">
        <v>55</v>
      </c>
      <c r="C213" s="17" t="s">
        <v>806</v>
      </c>
      <c r="E213">
        <v>128765</v>
      </c>
      <c r="G213">
        <v>2015</v>
      </c>
      <c r="H213">
        <v>9</v>
      </c>
      <c r="I213">
        <v>0</v>
      </c>
      <c r="J213" t="s">
        <v>30</v>
      </c>
      <c r="K213" s="45">
        <v>7</v>
      </c>
      <c r="L213">
        <f t="shared" si="55"/>
        <v>2022</v>
      </c>
      <c r="M213" s="15">
        <f t="shared" si="56"/>
        <v>2022.75</v>
      </c>
      <c r="N213" s="5">
        <v>36034.559999999998</v>
      </c>
      <c r="O213" s="5">
        <f t="shared" si="57"/>
        <v>36034.559999999998</v>
      </c>
      <c r="P213" s="5">
        <f t="shared" si="58"/>
        <v>428.98285714285709</v>
      </c>
      <c r="Q213" s="5">
        <f t="shared" si="59"/>
        <v>5147.7942857142853</v>
      </c>
      <c r="R213" s="5">
        <f t="shared" si="69"/>
        <v>5147.7942857142853</v>
      </c>
      <c r="S213" s="5">
        <f t="shared" si="70"/>
        <v>15443.382857142857</v>
      </c>
      <c r="T213" s="5">
        <f t="shared" si="71"/>
        <v>20591.177142857141</v>
      </c>
      <c r="U213" s="5">
        <f t="shared" si="72"/>
        <v>15443.382857142857</v>
      </c>
    </row>
    <row r="214" spans="2:21">
      <c r="B214" s="17">
        <v>9</v>
      </c>
      <c r="C214" s="17" t="s">
        <v>132</v>
      </c>
      <c r="E214">
        <v>86880</v>
      </c>
      <c r="G214">
        <v>2011</v>
      </c>
      <c r="H214">
        <v>9</v>
      </c>
      <c r="I214">
        <v>0</v>
      </c>
      <c r="J214" t="s">
        <v>30</v>
      </c>
      <c r="K214" s="45">
        <v>10</v>
      </c>
      <c r="L214">
        <f t="shared" ref="L214:L228" si="82">G214+K214</f>
        <v>2021</v>
      </c>
      <c r="M214" s="15">
        <f t="shared" ref="M214:M228" si="83">+L214+(H214/12)</f>
        <v>2021.75</v>
      </c>
      <c r="N214" s="5">
        <v>7358.08</v>
      </c>
      <c r="O214" s="5">
        <f t="shared" ref="O214:O228" si="84">N214-N214*I214</f>
        <v>7358.08</v>
      </c>
      <c r="P214" s="5">
        <f t="shared" ref="P214:P228" si="85">O214/K214/12</f>
        <v>61.31733333333333</v>
      </c>
      <c r="Q214" s="5">
        <f t="shared" ref="Q214:Q228" si="86">P214*12</f>
        <v>735.80799999999999</v>
      </c>
      <c r="R214" s="5">
        <f t="shared" ref="R214:R228" si="87">+IF(M214&lt;=$O$5,0,IF(L214&gt;$O$4,Q214,(P214*H214)))</f>
        <v>735.80799999999999</v>
      </c>
      <c r="S214" s="5">
        <f t="shared" ref="S214:S228" si="88">+IF(R214=0,N214,IF($O$3-G214&lt;1,0,(($O$3-G214)*Q214)))</f>
        <v>5150.6559999999999</v>
      </c>
      <c r="T214" s="5">
        <f t="shared" ref="T214:T228" si="89">+IF(R214=0,S214,S214+R214)</f>
        <v>5886.4639999999999</v>
      </c>
      <c r="U214" s="5">
        <f t="shared" ref="U214:U228" si="90">+N214-T214</f>
        <v>1471.616</v>
      </c>
    </row>
    <row r="215" spans="2:21">
      <c r="B215" s="17">
        <v>29</v>
      </c>
      <c r="C215" s="17" t="s">
        <v>132</v>
      </c>
      <c r="G215">
        <v>2007</v>
      </c>
      <c r="H215">
        <v>9</v>
      </c>
      <c r="I215">
        <v>0</v>
      </c>
      <c r="J215" t="s">
        <v>30</v>
      </c>
      <c r="K215" s="45" t="s">
        <v>35</v>
      </c>
      <c r="L215">
        <f t="shared" si="82"/>
        <v>2017</v>
      </c>
      <c r="M215" s="15">
        <f t="shared" si="83"/>
        <v>2017.75</v>
      </c>
      <c r="N215" s="5">
        <v>13081.07</v>
      </c>
      <c r="O215" s="5">
        <f t="shared" si="84"/>
        <v>13081.07</v>
      </c>
      <c r="P215" s="5">
        <f t="shared" si="85"/>
        <v>109.00891666666666</v>
      </c>
      <c r="Q215" s="5">
        <f t="shared" si="86"/>
        <v>1308.107</v>
      </c>
      <c r="R215" s="5">
        <f t="shared" si="87"/>
        <v>0</v>
      </c>
      <c r="S215" s="5">
        <f t="shared" si="88"/>
        <v>13081.07</v>
      </c>
      <c r="T215" s="5">
        <f t="shared" si="89"/>
        <v>13081.07</v>
      </c>
      <c r="U215" s="5">
        <f t="shared" si="90"/>
        <v>0</v>
      </c>
    </row>
    <row r="216" spans="2:21">
      <c r="B216" s="17">
        <v>38</v>
      </c>
      <c r="C216" s="17" t="s">
        <v>132</v>
      </c>
      <c r="G216">
        <v>2007</v>
      </c>
      <c r="H216">
        <v>9</v>
      </c>
      <c r="I216">
        <v>0</v>
      </c>
      <c r="J216" t="s">
        <v>30</v>
      </c>
      <c r="K216" s="45" t="s">
        <v>35</v>
      </c>
      <c r="L216">
        <f t="shared" si="82"/>
        <v>2017</v>
      </c>
      <c r="M216" s="15">
        <f t="shared" si="83"/>
        <v>2017.75</v>
      </c>
      <c r="N216" s="5">
        <v>17106.009999999998</v>
      </c>
      <c r="O216" s="5">
        <f t="shared" si="84"/>
        <v>17106.009999999998</v>
      </c>
      <c r="P216" s="5">
        <f t="shared" si="85"/>
        <v>142.55008333333333</v>
      </c>
      <c r="Q216" s="5">
        <f t="shared" si="86"/>
        <v>1710.6010000000001</v>
      </c>
      <c r="R216" s="5">
        <f t="shared" si="87"/>
        <v>0</v>
      </c>
      <c r="S216" s="5">
        <f t="shared" si="88"/>
        <v>17106.009999999998</v>
      </c>
      <c r="T216" s="5">
        <f t="shared" si="89"/>
        <v>17106.009999999998</v>
      </c>
      <c r="U216" s="5">
        <f t="shared" si="90"/>
        <v>0</v>
      </c>
    </row>
    <row r="217" spans="2:21">
      <c r="B217" s="17">
        <v>49</v>
      </c>
      <c r="C217" s="17" t="s">
        <v>132</v>
      </c>
      <c r="G217">
        <v>2008</v>
      </c>
      <c r="H217">
        <v>7</v>
      </c>
      <c r="I217">
        <v>0</v>
      </c>
      <c r="J217" t="s">
        <v>30</v>
      </c>
      <c r="K217" s="45" t="s">
        <v>35</v>
      </c>
      <c r="L217">
        <f t="shared" si="82"/>
        <v>2018</v>
      </c>
      <c r="M217" s="15">
        <f t="shared" si="83"/>
        <v>2018.5833333333333</v>
      </c>
      <c r="N217" s="5">
        <v>22330.400000000001</v>
      </c>
      <c r="O217" s="5">
        <f t="shared" si="84"/>
        <v>22330.400000000001</v>
      </c>
      <c r="P217" s="5">
        <f t="shared" si="85"/>
        <v>186.08666666666667</v>
      </c>
      <c r="Q217" s="5">
        <f t="shared" si="86"/>
        <v>2233.04</v>
      </c>
      <c r="R217" s="5">
        <f t="shared" si="87"/>
        <v>0</v>
      </c>
      <c r="S217" s="5">
        <f t="shared" si="88"/>
        <v>22330.400000000001</v>
      </c>
      <c r="T217" s="5">
        <f t="shared" si="89"/>
        <v>22330.400000000001</v>
      </c>
      <c r="U217" s="5">
        <f t="shared" si="90"/>
        <v>0</v>
      </c>
    </row>
    <row r="218" spans="2:21">
      <c r="B218" s="17">
        <v>54</v>
      </c>
      <c r="C218" s="17" t="s">
        <v>132</v>
      </c>
      <c r="G218">
        <v>2008</v>
      </c>
      <c r="H218">
        <v>8</v>
      </c>
      <c r="I218">
        <v>0</v>
      </c>
      <c r="J218" t="s">
        <v>30</v>
      </c>
      <c r="K218" s="45" t="s">
        <v>35</v>
      </c>
      <c r="L218">
        <f t="shared" si="82"/>
        <v>2018</v>
      </c>
      <c r="M218" s="15">
        <f t="shared" si="83"/>
        <v>2018.6666666666667</v>
      </c>
      <c r="N218" s="5">
        <v>24654.080000000002</v>
      </c>
      <c r="O218" s="5">
        <f t="shared" si="84"/>
        <v>24654.080000000002</v>
      </c>
      <c r="P218" s="5">
        <f t="shared" si="85"/>
        <v>205.45066666666671</v>
      </c>
      <c r="Q218" s="5">
        <f t="shared" si="86"/>
        <v>2465.4080000000004</v>
      </c>
      <c r="R218" s="5">
        <f t="shared" si="87"/>
        <v>0</v>
      </c>
      <c r="S218" s="5">
        <f t="shared" si="88"/>
        <v>24654.080000000002</v>
      </c>
      <c r="T218" s="5">
        <f t="shared" si="89"/>
        <v>24654.080000000002</v>
      </c>
      <c r="U218" s="5">
        <f t="shared" si="90"/>
        <v>0</v>
      </c>
    </row>
    <row r="219" spans="2:21">
      <c r="B219" s="17">
        <v>24</v>
      </c>
      <c r="C219" s="17" t="s">
        <v>1113</v>
      </c>
      <c r="E219">
        <v>215456</v>
      </c>
      <c r="G219">
        <v>2019</v>
      </c>
      <c r="H219">
        <v>5</v>
      </c>
      <c r="I219">
        <v>0</v>
      </c>
      <c r="J219" t="s">
        <v>30</v>
      </c>
      <c r="K219" s="45">
        <v>12</v>
      </c>
      <c r="L219">
        <f t="shared" si="82"/>
        <v>2031</v>
      </c>
      <c r="M219" s="15">
        <f t="shared" si="83"/>
        <v>2031.4166666666667</v>
      </c>
      <c r="N219" s="5">
        <v>23273.69</v>
      </c>
      <c r="O219" s="5">
        <f t="shared" si="84"/>
        <v>23273.69</v>
      </c>
      <c r="P219" s="5">
        <f t="shared" si="85"/>
        <v>161.62284722222222</v>
      </c>
      <c r="Q219" s="5">
        <f t="shared" si="86"/>
        <v>1939.4741666666666</v>
      </c>
      <c r="R219" s="5">
        <f t="shared" si="87"/>
        <v>1939.4741666666666</v>
      </c>
      <c r="S219" s="5">
        <f t="shared" si="88"/>
        <v>0</v>
      </c>
      <c r="T219" s="5">
        <f t="shared" si="89"/>
        <v>1939.4741666666666</v>
      </c>
      <c r="U219" s="5">
        <f t="shared" si="90"/>
        <v>21334.215833333332</v>
      </c>
    </row>
    <row r="220" spans="2:21">
      <c r="B220" s="17">
        <f>36+48</f>
        <v>84</v>
      </c>
      <c r="C220" s="17" t="s">
        <v>1113</v>
      </c>
      <c r="E220" t="s">
        <v>1135</v>
      </c>
      <c r="G220">
        <v>2019</v>
      </c>
      <c r="H220">
        <v>10</v>
      </c>
      <c r="I220">
        <v>0</v>
      </c>
      <c r="J220" t="s">
        <v>30</v>
      </c>
      <c r="K220" s="45">
        <v>12</v>
      </c>
      <c r="L220">
        <f t="shared" si="82"/>
        <v>2031</v>
      </c>
      <c r="M220" s="15">
        <f t="shared" si="83"/>
        <v>2031.8333333333333</v>
      </c>
      <c r="N220" s="5">
        <f>46489.19+33917.97</f>
        <v>80407.16</v>
      </c>
      <c r="O220" s="5">
        <f t="shared" si="84"/>
        <v>80407.16</v>
      </c>
      <c r="P220" s="5">
        <f t="shared" si="85"/>
        <v>558.38305555555564</v>
      </c>
      <c r="Q220" s="5">
        <f t="shared" si="86"/>
        <v>6700.5966666666682</v>
      </c>
      <c r="R220" s="5">
        <f t="shared" si="87"/>
        <v>6700.5966666666682</v>
      </c>
      <c r="S220" s="5">
        <f t="shared" si="88"/>
        <v>0</v>
      </c>
      <c r="T220" s="5">
        <f t="shared" si="89"/>
        <v>6700.5966666666682</v>
      </c>
      <c r="U220" s="5">
        <f t="shared" si="90"/>
        <v>73706.563333333339</v>
      </c>
    </row>
    <row r="221" spans="2:21">
      <c r="B221" s="17">
        <v>20</v>
      </c>
      <c r="C221" s="17" t="s">
        <v>705</v>
      </c>
      <c r="E221" t="s">
        <v>706</v>
      </c>
      <c r="G221">
        <v>2014</v>
      </c>
      <c r="H221">
        <v>3</v>
      </c>
      <c r="I221">
        <v>0</v>
      </c>
      <c r="J221" t="s">
        <v>30</v>
      </c>
      <c r="K221" s="45">
        <v>12</v>
      </c>
      <c r="L221">
        <f t="shared" si="82"/>
        <v>2026</v>
      </c>
      <c r="M221" s="15">
        <f t="shared" si="83"/>
        <v>2026.25</v>
      </c>
      <c r="N221" s="5">
        <f>5635.84+8856.32+1610.24</f>
        <v>16102.4</v>
      </c>
      <c r="O221" s="5">
        <f t="shared" si="84"/>
        <v>16102.4</v>
      </c>
      <c r="P221" s="5">
        <f t="shared" si="85"/>
        <v>111.82222222222221</v>
      </c>
      <c r="Q221" s="5">
        <f t="shared" si="86"/>
        <v>1341.8666666666666</v>
      </c>
      <c r="R221" s="5">
        <f t="shared" si="87"/>
        <v>1341.8666666666666</v>
      </c>
      <c r="S221" s="5">
        <f t="shared" si="88"/>
        <v>5367.4666666666662</v>
      </c>
      <c r="T221" s="5">
        <f t="shared" si="89"/>
        <v>6709.333333333333</v>
      </c>
      <c r="U221" s="5">
        <f t="shared" si="90"/>
        <v>9393.0666666666657</v>
      </c>
    </row>
    <row r="222" spans="2:21">
      <c r="B222" s="17">
        <v>40</v>
      </c>
      <c r="C222" s="17" t="s">
        <v>671</v>
      </c>
      <c r="E222" t="s">
        <v>672</v>
      </c>
      <c r="G222">
        <v>2013</v>
      </c>
      <c r="H222">
        <v>6</v>
      </c>
      <c r="I222">
        <v>0</v>
      </c>
      <c r="J222" t="s">
        <v>30</v>
      </c>
      <c r="K222" s="45">
        <v>12</v>
      </c>
      <c r="L222">
        <f t="shared" si="82"/>
        <v>2025</v>
      </c>
      <c r="M222" s="15">
        <f t="shared" si="83"/>
        <v>2025.5</v>
      </c>
      <c r="N222" s="5">
        <v>31552</v>
      </c>
      <c r="O222" s="5">
        <f t="shared" si="84"/>
        <v>31552</v>
      </c>
      <c r="P222" s="5">
        <f t="shared" si="85"/>
        <v>219.11111111111111</v>
      </c>
      <c r="Q222" s="5">
        <f t="shared" si="86"/>
        <v>2629.3333333333335</v>
      </c>
      <c r="R222" s="5">
        <f t="shared" si="87"/>
        <v>2629.3333333333335</v>
      </c>
      <c r="S222" s="5">
        <f t="shared" si="88"/>
        <v>13146.666666666668</v>
      </c>
      <c r="T222" s="5">
        <f t="shared" si="89"/>
        <v>15776.000000000002</v>
      </c>
      <c r="U222" s="5">
        <f t="shared" si="90"/>
        <v>15775.999999999998</v>
      </c>
    </row>
    <row r="223" spans="2:21">
      <c r="B223" s="17">
        <v>13</v>
      </c>
      <c r="C223" s="17" t="s">
        <v>842</v>
      </c>
      <c r="E223">
        <v>183935</v>
      </c>
      <c r="G223">
        <v>2017</v>
      </c>
      <c r="H223">
        <v>6</v>
      </c>
      <c r="I223">
        <v>0</v>
      </c>
      <c r="J223" t="s">
        <v>30</v>
      </c>
      <c r="K223" s="45">
        <v>7</v>
      </c>
      <c r="L223">
        <f t="shared" si="82"/>
        <v>2024</v>
      </c>
      <c r="M223" s="15">
        <f t="shared" si="83"/>
        <v>2024.5</v>
      </c>
      <c r="N223" s="5">
        <v>17637.47</v>
      </c>
      <c r="O223" s="5">
        <f t="shared" si="84"/>
        <v>17637.47</v>
      </c>
      <c r="P223" s="5">
        <f t="shared" si="85"/>
        <v>209.96988095238098</v>
      </c>
      <c r="Q223" s="5">
        <f t="shared" si="86"/>
        <v>2519.6385714285716</v>
      </c>
      <c r="R223" s="5">
        <f t="shared" si="87"/>
        <v>2519.6385714285716</v>
      </c>
      <c r="S223" s="5">
        <f t="shared" si="88"/>
        <v>2519.6385714285716</v>
      </c>
      <c r="T223" s="5">
        <f t="shared" si="89"/>
        <v>5039.2771428571432</v>
      </c>
      <c r="U223" s="5">
        <f t="shared" si="90"/>
        <v>12598.192857142858</v>
      </c>
    </row>
    <row r="224" spans="2:21">
      <c r="B224" s="17">
        <v>16</v>
      </c>
      <c r="C224" s="17" t="s">
        <v>842</v>
      </c>
      <c r="E224">
        <v>169573</v>
      </c>
      <c r="G224">
        <v>2016</v>
      </c>
      <c r="H224">
        <v>10</v>
      </c>
      <c r="I224">
        <v>0</v>
      </c>
      <c r="J224" t="s">
        <v>30</v>
      </c>
      <c r="K224" s="45">
        <v>7</v>
      </c>
      <c r="L224">
        <f t="shared" si="82"/>
        <v>2023</v>
      </c>
      <c r="M224" s="15">
        <f t="shared" si="83"/>
        <v>2023.8333333333333</v>
      </c>
      <c r="N224" s="5">
        <v>18430.72</v>
      </c>
      <c r="O224" s="5">
        <f t="shared" si="84"/>
        <v>18430.72</v>
      </c>
      <c r="P224" s="5">
        <f t="shared" si="85"/>
        <v>219.41333333333333</v>
      </c>
      <c r="Q224" s="5">
        <f t="shared" si="86"/>
        <v>2632.96</v>
      </c>
      <c r="R224" s="5">
        <f t="shared" si="87"/>
        <v>2632.96</v>
      </c>
      <c r="S224" s="5">
        <f t="shared" si="88"/>
        <v>5265.92</v>
      </c>
      <c r="T224" s="5">
        <f t="shared" si="89"/>
        <v>7898.88</v>
      </c>
      <c r="U224" s="5">
        <f t="shared" si="90"/>
        <v>10531.84</v>
      </c>
    </row>
    <row r="225" spans="1:21">
      <c r="B225" s="17">
        <v>16</v>
      </c>
      <c r="C225" s="17" t="s">
        <v>842</v>
      </c>
      <c r="E225">
        <v>169624</v>
      </c>
      <c r="G225">
        <v>2016</v>
      </c>
      <c r="H225">
        <v>10</v>
      </c>
      <c r="I225">
        <v>0</v>
      </c>
      <c r="J225" t="s">
        <v>30</v>
      </c>
      <c r="K225" s="45">
        <v>7</v>
      </c>
      <c r="L225">
        <f t="shared" si="82"/>
        <v>2023</v>
      </c>
      <c r="M225" s="15">
        <f t="shared" si="83"/>
        <v>2023.8333333333333</v>
      </c>
      <c r="N225" s="5">
        <v>18430.72</v>
      </c>
      <c r="O225" s="5">
        <f t="shared" si="84"/>
        <v>18430.72</v>
      </c>
      <c r="P225" s="5">
        <f t="shared" si="85"/>
        <v>219.41333333333333</v>
      </c>
      <c r="Q225" s="5">
        <f t="shared" si="86"/>
        <v>2632.96</v>
      </c>
      <c r="R225" s="5">
        <f t="shared" si="87"/>
        <v>2632.96</v>
      </c>
      <c r="S225" s="5">
        <f t="shared" si="88"/>
        <v>5265.92</v>
      </c>
      <c r="T225" s="5">
        <f t="shared" si="89"/>
        <v>7898.88</v>
      </c>
      <c r="U225" s="5">
        <f t="shared" si="90"/>
        <v>10531.84</v>
      </c>
    </row>
    <row r="226" spans="1:21">
      <c r="B226" s="17">
        <v>32</v>
      </c>
      <c r="C226" s="17" t="s">
        <v>842</v>
      </c>
      <c r="E226">
        <v>167285</v>
      </c>
      <c r="G226">
        <v>2016</v>
      </c>
      <c r="H226">
        <v>8</v>
      </c>
      <c r="I226">
        <v>0</v>
      </c>
      <c r="J226" t="s">
        <v>30</v>
      </c>
      <c r="K226" s="45">
        <v>7</v>
      </c>
      <c r="L226">
        <f t="shared" si="82"/>
        <v>2023</v>
      </c>
      <c r="M226" s="15">
        <f t="shared" si="83"/>
        <v>2023.6666666666667</v>
      </c>
      <c r="N226" s="5">
        <v>41648.639999999999</v>
      </c>
      <c r="O226" s="5">
        <f t="shared" si="84"/>
        <v>41648.639999999999</v>
      </c>
      <c r="P226" s="5">
        <f t="shared" si="85"/>
        <v>495.81714285714287</v>
      </c>
      <c r="Q226" s="5">
        <f t="shared" si="86"/>
        <v>5949.8057142857142</v>
      </c>
      <c r="R226" s="5">
        <f t="shared" si="87"/>
        <v>5949.8057142857142</v>
      </c>
      <c r="S226" s="5">
        <f t="shared" si="88"/>
        <v>11899.611428571428</v>
      </c>
      <c r="T226" s="5">
        <f t="shared" si="89"/>
        <v>17849.417142857143</v>
      </c>
      <c r="U226" s="5">
        <f t="shared" si="90"/>
        <v>23799.222857142857</v>
      </c>
    </row>
    <row r="227" spans="1:21">
      <c r="B227" s="17">
        <v>16</v>
      </c>
      <c r="C227" s="17" t="s">
        <v>828</v>
      </c>
      <c r="E227">
        <v>165737</v>
      </c>
      <c r="G227">
        <v>2016</v>
      </c>
      <c r="H227">
        <v>5</v>
      </c>
      <c r="I227">
        <v>0</v>
      </c>
      <c r="J227" t="s">
        <v>30</v>
      </c>
      <c r="K227" s="45">
        <v>7</v>
      </c>
      <c r="L227">
        <f t="shared" si="82"/>
        <v>2023</v>
      </c>
      <c r="M227" s="15">
        <f t="shared" si="83"/>
        <v>2023.4166666666667</v>
      </c>
      <c r="N227" s="5">
        <v>17712.64</v>
      </c>
      <c r="O227" s="5">
        <f t="shared" si="84"/>
        <v>17712.64</v>
      </c>
      <c r="P227" s="5">
        <f t="shared" si="85"/>
        <v>210.86476190476188</v>
      </c>
      <c r="Q227" s="5">
        <f t="shared" si="86"/>
        <v>2530.3771428571426</v>
      </c>
      <c r="R227" s="5">
        <f t="shared" si="87"/>
        <v>2530.3771428571426</v>
      </c>
      <c r="S227" s="5">
        <f t="shared" si="88"/>
        <v>5060.7542857142853</v>
      </c>
      <c r="T227" s="5">
        <f t="shared" si="89"/>
        <v>7591.1314285714279</v>
      </c>
      <c r="U227" s="5">
        <f t="shared" si="90"/>
        <v>10121.508571428571</v>
      </c>
    </row>
    <row r="228" spans="1:21">
      <c r="B228" s="17">
        <v>16</v>
      </c>
      <c r="C228" s="17" t="s">
        <v>828</v>
      </c>
      <c r="E228">
        <v>132891</v>
      </c>
      <c r="G228">
        <v>2016</v>
      </c>
      <c r="H228">
        <v>4</v>
      </c>
      <c r="I228">
        <v>0</v>
      </c>
      <c r="J228" t="s">
        <v>30</v>
      </c>
      <c r="K228" s="45">
        <v>7</v>
      </c>
      <c r="L228">
        <f t="shared" si="82"/>
        <v>2023</v>
      </c>
      <c r="M228" s="15">
        <f t="shared" si="83"/>
        <v>2023.3333333333333</v>
      </c>
      <c r="N228" s="5">
        <v>18430.72</v>
      </c>
      <c r="O228" s="5">
        <f t="shared" si="84"/>
        <v>18430.72</v>
      </c>
      <c r="P228" s="5">
        <f t="shared" si="85"/>
        <v>219.41333333333333</v>
      </c>
      <c r="Q228" s="5">
        <f t="shared" si="86"/>
        <v>2632.96</v>
      </c>
      <c r="R228" s="5">
        <f t="shared" si="87"/>
        <v>2632.96</v>
      </c>
      <c r="S228" s="5">
        <f t="shared" si="88"/>
        <v>5265.92</v>
      </c>
      <c r="T228" s="5">
        <f t="shared" si="89"/>
        <v>7898.88</v>
      </c>
      <c r="U228" s="5">
        <f t="shared" si="90"/>
        <v>10531.84</v>
      </c>
    </row>
    <row r="229" spans="1:21">
      <c r="B229">
        <v>25</v>
      </c>
      <c r="C229" t="s">
        <v>807</v>
      </c>
      <c r="E229">
        <v>128766</v>
      </c>
      <c r="G229">
        <v>2015</v>
      </c>
      <c r="H229">
        <v>9</v>
      </c>
      <c r="I229">
        <v>0</v>
      </c>
      <c r="J229" t="s">
        <v>30</v>
      </c>
      <c r="K229" s="45">
        <v>7</v>
      </c>
      <c r="L229">
        <f t="shared" si="55"/>
        <v>2022</v>
      </c>
      <c r="M229" s="15">
        <f t="shared" si="56"/>
        <v>2022.75</v>
      </c>
      <c r="N229" s="5">
        <v>18973.75</v>
      </c>
      <c r="O229" s="5">
        <f t="shared" si="57"/>
        <v>18973.75</v>
      </c>
      <c r="P229" s="5">
        <f t="shared" si="58"/>
        <v>225.87797619047618</v>
      </c>
      <c r="Q229" s="5">
        <f t="shared" si="59"/>
        <v>2710.5357142857142</v>
      </c>
      <c r="R229" s="5">
        <f t="shared" si="69"/>
        <v>2710.5357142857142</v>
      </c>
      <c r="S229" s="5">
        <f t="shared" si="70"/>
        <v>8131.6071428571431</v>
      </c>
      <c r="T229" s="5">
        <f t="shared" si="71"/>
        <v>10842.142857142857</v>
      </c>
      <c r="U229" s="5">
        <f t="shared" si="72"/>
        <v>8131.6071428571431</v>
      </c>
    </row>
    <row r="230" spans="1:21">
      <c r="B230">
        <v>4</v>
      </c>
      <c r="C230" t="s">
        <v>1058</v>
      </c>
      <c r="E230">
        <v>195625</v>
      </c>
      <c r="G230">
        <v>2018</v>
      </c>
      <c r="H230">
        <v>3</v>
      </c>
      <c r="I230">
        <v>0</v>
      </c>
      <c r="J230" t="s">
        <v>30</v>
      </c>
      <c r="K230" s="45">
        <v>7</v>
      </c>
      <c r="L230">
        <f t="shared" si="55"/>
        <v>2025</v>
      </c>
      <c r="M230" s="15">
        <f t="shared" si="56"/>
        <v>2025.25</v>
      </c>
      <c r="N230" s="5">
        <v>3287.88</v>
      </c>
      <c r="O230" s="5">
        <f t="shared" si="57"/>
        <v>3287.88</v>
      </c>
      <c r="P230" s="5">
        <f t="shared" si="58"/>
        <v>39.14142857142857</v>
      </c>
      <c r="Q230" s="5">
        <f t="shared" si="59"/>
        <v>469.69714285714281</v>
      </c>
      <c r="R230" s="5">
        <f t="shared" si="69"/>
        <v>469.69714285714281</v>
      </c>
      <c r="S230" s="5">
        <f t="shared" si="70"/>
        <v>0</v>
      </c>
      <c r="T230" s="5">
        <f t="shared" si="71"/>
        <v>469.69714285714281</v>
      </c>
      <c r="U230" s="5">
        <f t="shared" si="72"/>
        <v>2818.1828571428573</v>
      </c>
    </row>
    <row r="231" spans="1:21">
      <c r="B231">
        <v>20</v>
      </c>
      <c r="C231" s="2" t="s">
        <v>1058</v>
      </c>
      <c r="E231">
        <v>195626</v>
      </c>
      <c r="G231">
        <v>2018</v>
      </c>
      <c r="H231">
        <v>3</v>
      </c>
      <c r="I231">
        <v>0</v>
      </c>
      <c r="J231" t="s">
        <v>30</v>
      </c>
      <c r="K231" s="45">
        <v>7</v>
      </c>
      <c r="L231">
        <f t="shared" si="55"/>
        <v>2025</v>
      </c>
      <c r="M231" s="15">
        <f t="shared" si="56"/>
        <v>2025.25</v>
      </c>
      <c r="N231" s="5">
        <v>16439.38</v>
      </c>
      <c r="O231" s="5">
        <f t="shared" si="57"/>
        <v>16439.38</v>
      </c>
      <c r="P231" s="5">
        <f t="shared" si="58"/>
        <v>195.70690476190478</v>
      </c>
      <c r="Q231" s="5">
        <f t="shared" si="59"/>
        <v>2348.4828571428575</v>
      </c>
      <c r="R231" s="5">
        <f t="shared" si="69"/>
        <v>2348.4828571428575</v>
      </c>
      <c r="S231" s="5">
        <f t="shared" si="70"/>
        <v>0</v>
      </c>
      <c r="T231" s="5">
        <f t="shared" si="71"/>
        <v>2348.4828571428575</v>
      </c>
      <c r="U231" s="5">
        <f t="shared" si="72"/>
        <v>14090.897142857144</v>
      </c>
    </row>
    <row r="232" spans="1:21">
      <c r="B232">
        <v>18</v>
      </c>
      <c r="C232" s="2" t="s">
        <v>1173</v>
      </c>
      <c r="E232">
        <v>196549</v>
      </c>
      <c r="G232">
        <v>2018</v>
      </c>
      <c r="H232">
        <v>3</v>
      </c>
      <c r="I232">
        <v>0</v>
      </c>
      <c r="J232" t="s">
        <v>30</v>
      </c>
      <c r="K232" s="45">
        <v>7</v>
      </c>
      <c r="L232">
        <f t="shared" si="55"/>
        <v>2025</v>
      </c>
      <c r="M232" s="15">
        <f t="shared" si="56"/>
        <v>2025.25</v>
      </c>
      <c r="N232" s="5">
        <v>11986.39</v>
      </c>
      <c r="O232" s="5">
        <f t="shared" si="57"/>
        <v>11986.39</v>
      </c>
      <c r="P232" s="5">
        <f t="shared" si="58"/>
        <v>142.69511904761904</v>
      </c>
      <c r="Q232" s="5">
        <f t="shared" si="59"/>
        <v>1712.3414285714284</v>
      </c>
      <c r="R232" s="5">
        <f t="shared" si="69"/>
        <v>1712.3414285714284</v>
      </c>
      <c r="S232" s="5">
        <f t="shared" si="70"/>
        <v>0</v>
      </c>
      <c r="T232" s="5">
        <f t="shared" si="71"/>
        <v>1712.3414285714284</v>
      </c>
      <c r="U232" s="5">
        <f t="shared" si="72"/>
        <v>10274.048571428571</v>
      </c>
    </row>
    <row r="233" spans="1:21">
      <c r="B233">
        <v>24</v>
      </c>
      <c r="C233" s="2" t="s">
        <v>1172</v>
      </c>
      <c r="E233">
        <v>196550</v>
      </c>
      <c r="G233">
        <v>2018</v>
      </c>
      <c r="H233">
        <v>3</v>
      </c>
      <c r="I233">
        <v>0</v>
      </c>
      <c r="J233" t="s">
        <v>30</v>
      </c>
      <c r="K233" s="45">
        <v>7</v>
      </c>
      <c r="L233">
        <f t="shared" si="55"/>
        <v>2025</v>
      </c>
      <c r="M233" s="15">
        <f t="shared" si="56"/>
        <v>2025.25</v>
      </c>
      <c r="N233" s="5">
        <v>13180.99</v>
      </c>
      <c r="O233" s="5">
        <f t="shared" si="57"/>
        <v>13180.99</v>
      </c>
      <c r="P233" s="5">
        <f t="shared" si="58"/>
        <v>156.91654761904763</v>
      </c>
      <c r="Q233" s="5">
        <f t="shared" si="59"/>
        <v>1882.9985714285717</v>
      </c>
      <c r="R233" s="5">
        <f t="shared" si="69"/>
        <v>1882.9985714285717</v>
      </c>
      <c r="S233" s="5">
        <f t="shared" si="70"/>
        <v>0</v>
      </c>
      <c r="T233" s="5">
        <f t="shared" si="71"/>
        <v>1882.9985714285717</v>
      </c>
      <c r="U233" s="5">
        <f t="shared" si="72"/>
        <v>11297.991428571428</v>
      </c>
    </row>
    <row r="234" spans="1:21">
      <c r="M234" s="15"/>
    </row>
    <row r="235" spans="1:21">
      <c r="L235" s="6" t="s">
        <v>794</v>
      </c>
      <c r="M235" s="36"/>
      <c r="N235" s="9">
        <f>SUM(N187:N234)</f>
        <v>739961.09666666668</v>
      </c>
      <c r="O235" s="9">
        <f t="shared" ref="O235:T235" si="91">SUM(O187:O234)</f>
        <v>739961.09666666668</v>
      </c>
      <c r="P235" s="9">
        <f t="shared" si="91"/>
        <v>6939.1319503968252</v>
      </c>
      <c r="Q235" s="9">
        <f t="shared" si="91"/>
        <v>83269.583404761899</v>
      </c>
      <c r="R235" s="9">
        <f t="shared" si="91"/>
        <v>62347.399404761913</v>
      </c>
      <c r="S235" s="9">
        <f t="shared" si="91"/>
        <v>340423.24495238089</v>
      </c>
      <c r="T235" s="9">
        <f t="shared" si="91"/>
        <v>402770.64435714291</v>
      </c>
      <c r="U235" s="9">
        <f>SUM(U187:U234)</f>
        <v>337190.45230952388</v>
      </c>
    </row>
    <row r="236" spans="1:21">
      <c r="M236" s="15"/>
    </row>
    <row r="237" spans="1:21">
      <c r="A237" s="4" t="s">
        <v>453</v>
      </c>
      <c r="M237" s="15"/>
    </row>
    <row r="238" spans="1:21">
      <c r="B238">
        <v>1</v>
      </c>
      <c r="C238" t="s">
        <v>127</v>
      </c>
      <c r="G238">
        <v>1993</v>
      </c>
      <c r="H238">
        <v>12</v>
      </c>
      <c r="I238">
        <v>0</v>
      </c>
      <c r="J238" t="s">
        <v>30</v>
      </c>
      <c r="K238" s="45" t="s">
        <v>35</v>
      </c>
      <c r="L238">
        <f t="shared" ref="L238:L245" si="92">G238+K238</f>
        <v>2003</v>
      </c>
      <c r="M238" s="15">
        <f t="shared" ref="M238:M245" si="93">+L238+(H238/12)</f>
        <v>2004</v>
      </c>
      <c r="N238" s="5">
        <v>4923</v>
      </c>
      <c r="O238" s="5">
        <f t="shared" ref="O238:O245" si="94">N238-N238*I238</f>
        <v>4923</v>
      </c>
      <c r="P238" s="5">
        <f t="shared" ref="P238:P245" si="95">O238/K238/12</f>
        <v>41.024999999999999</v>
      </c>
      <c r="Q238" s="5">
        <f t="shared" ref="Q238:Q245" si="96">P238*12</f>
        <v>492.29999999999995</v>
      </c>
      <c r="R238" s="5">
        <f t="shared" ref="R238:R245" si="97">+IF(M238&lt;=$O$5,0,IF(L238&gt;$O$4,Q238,(P238*H238)))</f>
        <v>0</v>
      </c>
      <c r="S238" s="5">
        <f t="shared" ref="S238:S245" si="98">+IF(R238=0,N238,IF($O$3-G238&lt;1,0,(($O$3-G238)*Q238)))</f>
        <v>4923</v>
      </c>
      <c r="T238" s="5">
        <f t="shared" ref="T238:T245" si="99">+IF(R238=0,S238,S238+R238)</f>
        <v>4923</v>
      </c>
      <c r="U238" s="5">
        <f t="shared" ref="U238:U245" si="100">+N238-T238</f>
        <v>0</v>
      </c>
    </row>
    <row r="239" spans="1:21">
      <c r="B239">
        <v>10</v>
      </c>
      <c r="C239" t="s">
        <v>84</v>
      </c>
      <c r="G239">
        <v>1994</v>
      </c>
      <c r="H239">
        <v>5</v>
      </c>
      <c r="I239">
        <v>0</v>
      </c>
      <c r="J239" t="s">
        <v>30</v>
      </c>
      <c r="K239" s="45" t="s">
        <v>35</v>
      </c>
      <c r="L239">
        <f t="shared" si="92"/>
        <v>2004</v>
      </c>
      <c r="M239" s="15">
        <f t="shared" si="93"/>
        <v>2004.4166666666667</v>
      </c>
      <c r="N239" s="5">
        <v>33542</v>
      </c>
      <c r="O239" s="5">
        <f t="shared" si="94"/>
        <v>33542</v>
      </c>
      <c r="P239" s="5">
        <f t="shared" si="95"/>
        <v>279.51666666666665</v>
      </c>
      <c r="Q239" s="5">
        <f t="shared" si="96"/>
        <v>3354.2</v>
      </c>
      <c r="R239" s="5">
        <f t="shared" si="97"/>
        <v>0</v>
      </c>
      <c r="S239" s="5">
        <f t="shared" si="98"/>
        <v>33542</v>
      </c>
      <c r="T239" s="5">
        <f t="shared" si="99"/>
        <v>33542</v>
      </c>
      <c r="U239" s="5">
        <f t="shared" si="100"/>
        <v>0</v>
      </c>
    </row>
    <row r="240" spans="1:21">
      <c r="B240">
        <v>2</v>
      </c>
      <c r="C240" t="s">
        <v>84</v>
      </c>
      <c r="G240">
        <v>1994</v>
      </c>
      <c r="H240">
        <v>6</v>
      </c>
      <c r="I240">
        <v>0</v>
      </c>
      <c r="J240" t="s">
        <v>30</v>
      </c>
      <c r="K240" s="45" t="s">
        <v>35</v>
      </c>
      <c r="L240">
        <f t="shared" si="92"/>
        <v>2004</v>
      </c>
      <c r="M240" s="15">
        <f t="shared" si="93"/>
        <v>2004.5</v>
      </c>
      <c r="N240" s="5">
        <v>5085</v>
      </c>
      <c r="O240" s="5">
        <f t="shared" si="94"/>
        <v>5085</v>
      </c>
      <c r="P240" s="5">
        <f t="shared" si="95"/>
        <v>42.375</v>
      </c>
      <c r="Q240" s="5">
        <f t="shared" si="96"/>
        <v>508.5</v>
      </c>
      <c r="R240" s="5">
        <f t="shared" si="97"/>
        <v>0</v>
      </c>
      <c r="S240" s="5">
        <f t="shared" si="98"/>
        <v>5085</v>
      </c>
      <c r="T240" s="5">
        <f t="shared" si="99"/>
        <v>5085</v>
      </c>
      <c r="U240" s="5">
        <f t="shared" si="100"/>
        <v>0</v>
      </c>
    </row>
    <row r="241" spans="2:21">
      <c r="B241">
        <v>2</v>
      </c>
      <c r="C241" t="s">
        <v>84</v>
      </c>
      <c r="G241">
        <v>1994</v>
      </c>
      <c r="H241">
        <v>6</v>
      </c>
      <c r="I241">
        <v>0</v>
      </c>
      <c r="J241" t="s">
        <v>30</v>
      </c>
      <c r="K241" s="45" t="s">
        <v>35</v>
      </c>
      <c r="L241">
        <f t="shared" si="92"/>
        <v>2004</v>
      </c>
      <c r="M241" s="15">
        <f t="shared" si="93"/>
        <v>2004.5</v>
      </c>
      <c r="N241" s="5">
        <v>6708</v>
      </c>
      <c r="O241" s="5">
        <f t="shared" si="94"/>
        <v>6708</v>
      </c>
      <c r="P241" s="5">
        <f t="shared" si="95"/>
        <v>55.9</v>
      </c>
      <c r="Q241" s="5">
        <f t="shared" si="96"/>
        <v>670.8</v>
      </c>
      <c r="R241" s="5">
        <f t="shared" si="97"/>
        <v>0</v>
      </c>
      <c r="S241" s="5">
        <f t="shared" si="98"/>
        <v>6708</v>
      </c>
      <c r="T241" s="5">
        <f t="shared" si="99"/>
        <v>6708</v>
      </c>
      <c r="U241" s="5">
        <f t="shared" si="100"/>
        <v>0</v>
      </c>
    </row>
    <row r="242" spans="2:21">
      <c r="B242">
        <v>1</v>
      </c>
      <c r="C242" t="s">
        <v>84</v>
      </c>
      <c r="G242">
        <v>1994</v>
      </c>
      <c r="H242">
        <v>8</v>
      </c>
      <c r="I242">
        <v>0</v>
      </c>
      <c r="J242" t="s">
        <v>30</v>
      </c>
      <c r="K242" s="45" t="s">
        <v>35</v>
      </c>
      <c r="L242">
        <f t="shared" si="92"/>
        <v>2004</v>
      </c>
      <c r="M242" s="15">
        <f t="shared" si="93"/>
        <v>2004.6666666666667</v>
      </c>
      <c r="N242" s="5">
        <v>3187.57</v>
      </c>
      <c r="O242" s="5">
        <f t="shared" si="94"/>
        <v>3187.57</v>
      </c>
      <c r="P242" s="5">
        <f t="shared" si="95"/>
        <v>26.563083333333335</v>
      </c>
      <c r="Q242" s="5">
        <f t="shared" si="96"/>
        <v>318.75700000000001</v>
      </c>
      <c r="R242" s="5">
        <f t="shared" si="97"/>
        <v>0</v>
      </c>
      <c r="S242" s="5">
        <f t="shared" si="98"/>
        <v>3187.57</v>
      </c>
      <c r="T242" s="5">
        <f t="shared" si="99"/>
        <v>3187.57</v>
      </c>
      <c r="U242" s="5">
        <f t="shared" si="100"/>
        <v>0</v>
      </c>
    </row>
    <row r="243" spans="2:21">
      <c r="B243">
        <v>2</v>
      </c>
      <c r="C243" t="s">
        <v>70</v>
      </c>
      <c r="G243">
        <v>1995</v>
      </c>
      <c r="H243">
        <v>6</v>
      </c>
      <c r="I243">
        <v>0</v>
      </c>
      <c r="J243" t="s">
        <v>30</v>
      </c>
      <c r="K243" s="45" t="s">
        <v>35</v>
      </c>
      <c r="L243">
        <f t="shared" si="92"/>
        <v>2005</v>
      </c>
      <c r="M243" s="15">
        <f t="shared" si="93"/>
        <v>2005.5</v>
      </c>
      <c r="N243" s="5">
        <v>9711</v>
      </c>
      <c r="O243" s="5">
        <f t="shared" si="94"/>
        <v>9711</v>
      </c>
      <c r="P243" s="5">
        <f t="shared" si="95"/>
        <v>80.924999999999997</v>
      </c>
      <c r="Q243" s="5">
        <f t="shared" si="96"/>
        <v>971.09999999999991</v>
      </c>
      <c r="R243" s="5">
        <f t="shared" si="97"/>
        <v>0</v>
      </c>
      <c r="S243" s="5">
        <f t="shared" si="98"/>
        <v>9711</v>
      </c>
      <c r="T243" s="5">
        <f t="shared" si="99"/>
        <v>9711</v>
      </c>
      <c r="U243" s="5">
        <f t="shared" si="100"/>
        <v>0</v>
      </c>
    </row>
    <row r="244" spans="2:21">
      <c r="B244">
        <v>3</v>
      </c>
      <c r="C244" t="s">
        <v>84</v>
      </c>
      <c r="G244">
        <v>1996</v>
      </c>
      <c r="H244">
        <v>2</v>
      </c>
      <c r="I244">
        <v>0</v>
      </c>
      <c r="J244" t="s">
        <v>30</v>
      </c>
      <c r="K244" s="45" t="s">
        <v>35</v>
      </c>
      <c r="L244">
        <f t="shared" si="92"/>
        <v>2006</v>
      </c>
      <c r="M244" s="15">
        <f t="shared" si="93"/>
        <v>2006.1666666666667</v>
      </c>
      <c r="N244" s="5">
        <v>7953</v>
      </c>
      <c r="O244" s="5">
        <f t="shared" si="94"/>
        <v>7953</v>
      </c>
      <c r="P244" s="5">
        <f t="shared" si="95"/>
        <v>66.274999999999991</v>
      </c>
      <c r="Q244" s="5">
        <f t="shared" si="96"/>
        <v>795.3</v>
      </c>
      <c r="R244" s="5">
        <f t="shared" si="97"/>
        <v>0</v>
      </c>
      <c r="S244" s="5">
        <f t="shared" si="98"/>
        <v>7953</v>
      </c>
      <c r="T244" s="5">
        <f t="shared" si="99"/>
        <v>7953</v>
      </c>
      <c r="U244" s="5">
        <f t="shared" si="100"/>
        <v>0</v>
      </c>
    </row>
    <row r="245" spans="2:21">
      <c r="B245">
        <v>3</v>
      </c>
      <c r="C245" t="s">
        <v>84</v>
      </c>
      <c r="G245">
        <v>1996</v>
      </c>
      <c r="H245">
        <v>3</v>
      </c>
      <c r="I245">
        <v>0</v>
      </c>
      <c r="J245" t="s">
        <v>30</v>
      </c>
      <c r="K245" s="45" t="s">
        <v>35</v>
      </c>
      <c r="L245">
        <f t="shared" si="92"/>
        <v>2006</v>
      </c>
      <c r="M245" s="15">
        <f t="shared" si="93"/>
        <v>2006.25</v>
      </c>
      <c r="N245" s="5">
        <v>10355</v>
      </c>
      <c r="O245" s="5">
        <f t="shared" si="94"/>
        <v>10355</v>
      </c>
      <c r="P245" s="5">
        <f t="shared" si="95"/>
        <v>86.291666666666671</v>
      </c>
      <c r="Q245" s="5">
        <f t="shared" si="96"/>
        <v>1035.5</v>
      </c>
      <c r="R245" s="5">
        <f t="shared" si="97"/>
        <v>0</v>
      </c>
      <c r="S245" s="5">
        <f t="shared" si="98"/>
        <v>10355</v>
      </c>
      <c r="T245" s="5">
        <f t="shared" si="99"/>
        <v>10355</v>
      </c>
      <c r="U245" s="5">
        <f t="shared" si="100"/>
        <v>0</v>
      </c>
    </row>
    <row r="246" spans="2:21">
      <c r="B246">
        <v>5</v>
      </c>
      <c r="C246" t="s">
        <v>84</v>
      </c>
      <c r="G246">
        <v>1996</v>
      </c>
      <c r="H246">
        <v>6</v>
      </c>
      <c r="I246">
        <v>0</v>
      </c>
      <c r="J246" t="s">
        <v>30</v>
      </c>
      <c r="K246" s="45" t="s">
        <v>35</v>
      </c>
      <c r="L246">
        <f t="shared" ref="L246:L261" si="101">G246+K246</f>
        <v>2006</v>
      </c>
      <c r="M246" s="15">
        <f t="shared" ref="M246:M261" si="102">+L246+(H246/12)</f>
        <v>2006.5</v>
      </c>
      <c r="N246" s="5">
        <v>13255</v>
      </c>
      <c r="O246" s="5">
        <f t="shared" ref="O246:O261" si="103">N246-N246*I246</f>
        <v>13255</v>
      </c>
      <c r="P246" s="5">
        <f t="shared" ref="P246:P261" si="104">O246/K246/12</f>
        <v>110.45833333333333</v>
      </c>
      <c r="Q246" s="5">
        <f t="shared" ref="Q246:Q261" si="105">P246*12</f>
        <v>1325.5</v>
      </c>
      <c r="R246" s="5">
        <f t="shared" ref="R246:R262" si="106">+IF(M246&lt;=$O$5,0,IF(L246&gt;$O$4,Q246,(P246*H246)))</f>
        <v>0</v>
      </c>
      <c r="S246" s="5">
        <f t="shared" ref="S246:S262" si="107">+IF(R246=0,N246,IF($O$3-G246&lt;1,0,(($O$3-G246)*Q246)))</f>
        <v>13255</v>
      </c>
      <c r="T246" s="5">
        <f t="shared" ref="T246:T262" si="108">+IF(R246=0,S246,S246+R246)</f>
        <v>13255</v>
      </c>
      <c r="U246" s="5">
        <f t="shared" ref="U246:U262" si="109">+N246-T246</f>
        <v>0</v>
      </c>
    </row>
    <row r="247" spans="2:21">
      <c r="B247">
        <v>5</v>
      </c>
      <c r="C247" t="s">
        <v>84</v>
      </c>
      <c r="G247">
        <v>1996</v>
      </c>
      <c r="H247">
        <v>6</v>
      </c>
      <c r="I247">
        <v>0</v>
      </c>
      <c r="J247" t="s">
        <v>30</v>
      </c>
      <c r="K247" s="45" t="s">
        <v>35</v>
      </c>
      <c r="L247">
        <f t="shared" si="101"/>
        <v>2006</v>
      </c>
      <c r="M247" s="15">
        <f t="shared" si="102"/>
        <v>2006.5</v>
      </c>
      <c r="N247" s="5">
        <v>17258</v>
      </c>
      <c r="O247" s="5">
        <f t="shared" si="103"/>
        <v>17258</v>
      </c>
      <c r="P247" s="5">
        <f t="shared" si="104"/>
        <v>143.81666666666666</v>
      </c>
      <c r="Q247" s="5">
        <f t="shared" si="105"/>
        <v>1725.8</v>
      </c>
      <c r="R247" s="5">
        <f t="shared" si="106"/>
        <v>0</v>
      </c>
      <c r="S247" s="5">
        <f t="shared" si="107"/>
        <v>17258</v>
      </c>
      <c r="T247" s="5">
        <f t="shared" si="108"/>
        <v>17258</v>
      </c>
      <c r="U247" s="5">
        <f t="shared" si="109"/>
        <v>0</v>
      </c>
    </row>
    <row r="248" spans="2:21">
      <c r="B248">
        <v>2</v>
      </c>
      <c r="C248" t="s">
        <v>127</v>
      </c>
      <c r="G248">
        <v>1998</v>
      </c>
      <c r="H248">
        <v>2</v>
      </c>
      <c r="I248">
        <v>0</v>
      </c>
      <c r="J248" t="s">
        <v>30</v>
      </c>
      <c r="K248" s="45" t="s">
        <v>35</v>
      </c>
      <c r="L248">
        <f t="shared" si="101"/>
        <v>2008</v>
      </c>
      <c r="M248" s="15">
        <f t="shared" si="102"/>
        <v>2008.1666666666667</v>
      </c>
      <c r="N248" s="5">
        <v>12369.54</v>
      </c>
      <c r="O248" s="5">
        <f t="shared" si="103"/>
        <v>12369.54</v>
      </c>
      <c r="P248" s="5">
        <f t="shared" si="104"/>
        <v>103.07950000000001</v>
      </c>
      <c r="Q248" s="5">
        <f t="shared" si="105"/>
        <v>1236.9540000000002</v>
      </c>
      <c r="R248" s="5">
        <f t="shared" si="106"/>
        <v>0</v>
      </c>
      <c r="S248" s="5">
        <f t="shared" si="107"/>
        <v>12369.54</v>
      </c>
      <c r="T248" s="5">
        <f t="shared" si="108"/>
        <v>12369.54</v>
      </c>
      <c r="U248" s="5">
        <f t="shared" si="109"/>
        <v>0</v>
      </c>
    </row>
    <row r="249" spans="2:21">
      <c r="B249">
        <v>2</v>
      </c>
      <c r="C249" t="s">
        <v>127</v>
      </c>
      <c r="G249">
        <v>1998</v>
      </c>
      <c r="H249">
        <v>7</v>
      </c>
      <c r="I249">
        <v>0</v>
      </c>
      <c r="J249" t="s">
        <v>30</v>
      </c>
      <c r="K249" s="45" t="s">
        <v>35</v>
      </c>
      <c r="L249">
        <f t="shared" si="101"/>
        <v>2008</v>
      </c>
      <c r="M249" s="15">
        <f t="shared" si="102"/>
        <v>2008.5833333333333</v>
      </c>
      <c r="N249" s="5">
        <v>12369.54</v>
      </c>
      <c r="O249" s="5">
        <f t="shared" si="103"/>
        <v>12369.54</v>
      </c>
      <c r="P249" s="5">
        <f t="shared" si="104"/>
        <v>103.07950000000001</v>
      </c>
      <c r="Q249" s="5">
        <f t="shared" si="105"/>
        <v>1236.9540000000002</v>
      </c>
      <c r="R249" s="5">
        <f t="shared" si="106"/>
        <v>0</v>
      </c>
      <c r="S249" s="5">
        <f t="shared" si="107"/>
        <v>12369.54</v>
      </c>
      <c r="T249" s="5">
        <f t="shared" si="108"/>
        <v>12369.54</v>
      </c>
      <c r="U249" s="5">
        <f t="shared" si="109"/>
        <v>0</v>
      </c>
    </row>
    <row r="250" spans="2:21">
      <c r="B250">
        <v>8</v>
      </c>
      <c r="C250" t="s">
        <v>100</v>
      </c>
      <c r="G250">
        <v>2000</v>
      </c>
      <c r="H250">
        <v>4</v>
      </c>
      <c r="I250">
        <v>0</v>
      </c>
      <c r="J250" t="s">
        <v>30</v>
      </c>
      <c r="K250" s="45" t="s">
        <v>35</v>
      </c>
      <c r="L250">
        <f t="shared" si="101"/>
        <v>2010</v>
      </c>
      <c r="M250" s="15">
        <f t="shared" si="102"/>
        <v>2010.3333333333333</v>
      </c>
      <c r="N250" s="5">
        <v>39421.800000000003</v>
      </c>
      <c r="O250" s="5">
        <f t="shared" si="103"/>
        <v>39421.800000000003</v>
      </c>
      <c r="P250" s="5">
        <f t="shared" si="104"/>
        <v>328.51500000000004</v>
      </c>
      <c r="Q250" s="5">
        <f t="shared" si="105"/>
        <v>3942.1800000000003</v>
      </c>
      <c r="R250" s="5">
        <f t="shared" si="106"/>
        <v>0</v>
      </c>
      <c r="S250" s="5">
        <f t="shared" si="107"/>
        <v>39421.800000000003</v>
      </c>
      <c r="T250" s="5">
        <f t="shared" si="108"/>
        <v>39421.800000000003</v>
      </c>
      <c r="U250" s="5">
        <f t="shared" si="109"/>
        <v>0</v>
      </c>
    </row>
    <row r="251" spans="2:21">
      <c r="B251">
        <v>4</v>
      </c>
      <c r="C251" t="s">
        <v>100</v>
      </c>
      <c r="G251">
        <v>2000</v>
      </c>
      <c r="H251">
        <v>4</v>
      </c>
      <c r="I251">
        <v>0</v>
      </c>
      <c r="J251" t="s">
        <v>30</v>
      </c>
      <c r="K251" s="45" t="s">
        <v>35</v>
      </c>
      <c r="L251">
        <f t="shared" si="101"/>
        <v>2010</v>
      </c>
      <c r="M251" s="15">
        <f t="shared" si="102"/>
        <v>2010.3333333333333</v>
      </c>
      <c r="N251" s="5">
        <v>19710.900000000001</v>
      </c>
      <c r="O251" s="5">
        <f t="shared" si="103"/>
        <v>19710.900000000001</v>
      </c>
      <c r="P251" s="5">
        <f t="shared" si="104"/>
        <v>164.25750000000002</v>
      </c>
      <c r="Q251" s="5">
        <f t="shared" si="105"/>
        <v>1971.0900000000001</v>
      </c>
      <c r="R251" s="5">
        <f t="shared" si="106"/>
        <v>0</v>
      </c>
      <c r="S251" s="5">
        <f t="shared" si="107"/>
        <v>19710.900000000001</v>
      </c>
      <c r="T251" s="5">
        <f t="shared" si="108"/>
        <v>19710.900000000001</v>
      </c>
      <c r="U251" s="5">
        <f t="shared" si="109"/>
        <v>0</v>
      </c>
    </row>
    <row r="252" spans="2:21">
      <c r="B252">
        <v>2</v>
      </c>
      <c r="C252" t="s">
        <v>100</v>
      </c>
      <c r="G252">
        <v>2000</v>
      </c>
      <c r="H252">
        <v>4</v>
      </c>
      <c r="I252">
        <v>0</v>
      </c>
      <c r="J252" t="s">
        <v>30</v>
      </c>
      <c r="K252" s="45" t="s">
        <v>35</v>
      </c>
      <c r="L252">
        <f t="shared" si="101"/>
        <v>2010</v>
      </c>
      <c r="M252" s="15">
        <f t="shared" si="102"/>
        <v>2010.3333333333333</v>
      </c>
      <c r="N252" s="5">
        <v>8101.56</v>
      </c>
      <c r="O252" s="5">
        <f t="shared" si="103"/>
        <v>8101.56</v>
      </c>
      <c r="P252" s="5">
        <f t="shared" si="104"/>
        <v>67.513000000000005</v>
      </c>
      <c r="Q252" s="5">
        <f t="shared" si="105"/>
        <v>810.15600000000006</v>
      </c>
      <c r="R252" s="5">
        <f t="shared" si="106"/>
        <v>0</v>
      </c>
      <c r="S252" s="5">
        <f t="shared" si="107"/>
        <v>8101.56</v>
      </c>
      <c r="T252" s="5">
        <f t="shared" si="108"/>
        <v>8101.56</v>
      </c>
      <c r="U252" s="5">
        <f t="shared" si="109"/>
        <v>0</v>
      </c>
    </row>
    <row r="253" spans="2:21">
      <c r="B253">
        <v>1</v>
      </c>
      <c r="C253" t="s">
        <v>100</v>
      </c>
      <c r="G253">
        <v>2000</v>
      </c>
      <c r="H253">
        <v>4</v>
      </c>
      <c r="I253">
        <v>0</v>
      </c>
      <c r="J253" t="s">
        <v>30</v>
      </c>
      <c r="K253" s="45" t="s">
        <v>35</v>
      </c>
      <c r="L253">
        <f t="shared" si="101"/>
        <v>2010</v>
      </c>
      <c r="M253" s="15">
        <f t="shared" si="102"/>
        <v>2010.3333333333333</v>
      </c>
      <c r="N253" s="5">
        <v>3034.12</v>
      </c>
      <c r="O253" s="5">
        <f t="shared" si="103"/>
        <v>3034.12</v>
      </c>
      <c r="P253" s="5">
        <f t="shared" si="104"/>
        <v>25.284333333333333</v>
      </c>
      <c r="Q253" s="5">
        <f t="shared" si="105"/>
        <v>303.41199999999998</v>
      </c>
      <c r="R253" s="5">
        <f t="shared" si="106"/>
        <v>0</v>
      </c>
      <c r="S253" s="5">
        <f t="shared" si="107"/>
        <v>3034.12</v>
      </c>
      <c r="T253" s="5">
        <f t="shared" si="108"/>
        <v>3034.12</v>
      </c>
      <c r="U253" s="5">
        <f t="shared" si="109"/>
        <v>0</v>
      </c>
    </row>
    <row r="254" spans="2:21">
      <c r="B254">
        <v>1</v>
      </c>
      <c r="C254" t="s">
        <v>100</v>
      </c>
      <c r="G254">
        <v>2000</v>
      </c>
      <c r="H254">
        <v>5</v>
      </c>
      <c r="I254">
        <v>0</v>
      </c>
      <c r="J254" t="s">
        <v>30</v>
      </c>
      <c r="K254" s="45" t="s">
        <v>35</v>
      </c>
      <c r="L254">
        <f t="shared" si="101"/>
        <v>2010</v>
      </c>
      <c r="M254" s="15">
        <f t="shared" si="102"/>
        <v>2010.4166666666667</v>
      </c>
      <c r="N254" s="5">
        <v>3330</v>
      </c>
      <c r="O254" s="5">
        <f t="shared" si="103"/>
        <v>3330</v>
      </c>
      <c r="P254" s="5">
        <f t="shared" si="104"/>
        <v>27.75</v>
      </c>
      <c r="Q254" s="5">
        <f t="shared" si="105"/>
        <v>333</v>
      </c>
      <c r="R254" s="5">
        <f t="shared" si="106"/>
        <v>0</v>
      </c>
      <c r="S254" s="5">
        <f t="shared" si="107"/>
        <v>3330</v>
      </c>
      <c r="T254" s="5">
        <f t="shared" si="108"/>
        <v>3330</v>
      </c>
      <c r="U254" s="5">
        <f t="shared" si="109"/>
        <v>0</v>
      </c>
    </row>
    <row r="255" spans="2:21">
      <c r="B255">
        <v>1</v>
      </c>
      <c r="C255" t="s">
        <v>460</v>
      </c>
      <c r="G255">
        <v>2000</v>
      </c>
      <c r="H255">
        <v>6</v>
      </c>
      <c r="I255">
        <v>0</v>
      </c>
      <c r="J255" t="s">
        <v>30</v>
      </c>
      <c r="K255" s="45" t="s">
        <v>35</v>
      </c>
      <c r="L255">
        <f t="shared" si="101"/>
        <v>2010</v>
      </c>
      <c r="M255" s="15">
        <f t="shared" si="102"/>
        <v>2010.5</v>
      </c>
      <c r="N255" s="5">
        <v>2685.96</v>
      </c>
      <c r="O255" s="5">
        <f t="shared" si="103"/>
        <v>2685.96</v>
      </c>
      <c r="P255" s="5">
        <f t="shared" si="104"/>
        <v>22.382999999999999</v>
      </c>
      <c r="Q255" s="5">
        <f t="shared" si="105"/>
        <v>268.596</v>
      </c>
      <c r="R255" s="5">
        <f t="shared" si="106"/>
        <v>0</v>
      </c>
      <c r="S255" s="5">
        <f t="shared" si="107"/>
        <v>2685.96</v>
      </c>
      <c r="T255" s="5">
        <f t="shared" si="108"/>
        <v>2685.96</v>
      </c>
      <c r="U255" s="5">
        <f t="shared" si="109"/>
        <v>0</v>
      </c>
    </row>
    <row r="256" spans="2:21">
      <c r="B256">
        <v>13</v>
      </c>
      <c r="C256" t="s">
        <v>84</v>
      </c>
      <c r="G256">
        <v>2000</v>
      </c>
      <c r="H256">
        <v>6</v>
      </c>
      <c r="I256">
        <v>0</v>
      </c>
      <c r="J256" t="s">
        <v>30</v>
      </c>
      <c r="K256" s="45" t="s">
        <v>35</v>
      </c>
      <c r="L256">
        <f t="shared" si="101"/>
        <v>2010</v>
      </c>
      <c r="M256" s="15">
        <f t="shared" si="102"/>
        <v>2010.5</v>
      </c>
      <c r="N256" s="5">
        <v>53349.75</v>
      </c>
      <c r="O256" s="5">
        <f t="shared" si="103"/>
        <v>53349.75</v>
      </c>
      <c r="P256" s="5">
        <f t="shared" si="104"/>
        <v>444.58125000000001</v>
      </c>
      <c r="Q256" s="5">
        <f t="shared" si="105"/>
        <v>5334.9750000000004</v>
      </c>
      <c r="R256" s="5">
        <f t="shared" si="106"/>
        <v>0</v>
      </c>
      <c r="S256" s="5">
        <f t="shared" si="107"/>
        <v>53349.75</v>
      </c>
      <c r="T256" s="5">
        <f t="shared" si="108"/>
        <v>53349.75</v>
      </c>
      <c r="U256" s="5">
        <f t="shared" si="109"/>
        <v>0</v>
      </c>
    </row>
    <row r="257" spans="2:21">
      <c r="B257">
        <v>4</v>
      </c>
      <c r="C257" t="s">
        <v>84</v>
      </c>
      <c r="G257">
        <v>2000</v>
      </c>
      <c r="H257">
        <v>6</v>
      </c>
      <c r="I257">
        <v>0</v>
      </c>
      <c r="J257" t="s">
        <v>30</v>
      </c>
      <c r="K257" s="45" t="s">
        <v>35</v>
      </c>
      <c r="L257">
        <f t="shared" si="101"/>
        <v>2010</v>
      </c>
      <c r="M257" s="15">
        <f t="shared" si="102"/>
        <v>2010.5</v>
      </c>
      <c r="N257" s="5">
        <v>17723.52</v>
      </c>
      <c r="O257" s="5">
        <f t="shared" si="103"/>
        <v>17723.52</v>
      </c>
      <c r="P257" s="5">
        <f t="shared" si="104"/>
        <v>147.696</v>
      </c>
      <c r="Q257" s="5">
        <f t="shared" si="105"/>
        <v>1772.3519999999999</v>
      </c>
      <c r="R257" s="5">
        <f t="shared" si="106"/>
        <v>0</v>
      </c>
      <c r="S257" s="5">
        <f t="shared" si="107"/>
        <v>17723.52</v>
      </c>
      <c r="T257" s="5">
        <f t="shared" si="108"/>
        <v>17723.52</v>
      </c>
      <c r="U257" s="5">
        <f t="shared" si="109"/>
        <v>0</v>
      </c>
    </row>
    <row r="258" spans="2:21">
      <c r="B258">
        <v>8</v>
      </c>
      <c r="C258" t="s">
        <v>100</v>
      </c>
      <c r="G258">
        <v>2000</v>
      </c>
      <c r="H258">
        <v>6</v>
      </c>
      <c r="I258">
        <v>0</v>
      </c>
      <c r="J258" t="s">
        <v>30</v>
      </c>
      <c r="K258" s="45" t="s">
        <v>35</v>
      </c>
      <c r="L258">
        <f t="shared" si="101"/>
        <v>2010</v>
      </c>
      <c r="M258" s="15">
        <f t="shared" si="102"/>
        <v>2010.5</v>
      </c>
      <c r="N258" s="5">
        <v>39421.800000000003</v>
      </c>
      <c r="O258" s="5">
        <f t="shared" si="103"/>
        <v>39421.800000000003</v>
      </c>
      <c r="P258" s="5">
        <f t="shared" si="104"/>
        <v>328.51500000000004</v>
      </c>
      <c r="Q258" s="5">
        <f t="shared" si="105"/>
        <v>3942.1800000000003</v>
      </c>
      <c r="R258" s="5">
        <f t="shared" si="106"/>
        <v>0</v>
      </c>
      <c r="S258" s="5">
        <f t="shared" si="107"/>
        <v>39421.800000000003</v>
      </c>
      <c r="T258" s="5">
        <f t="shared" si="108"/>
        <v>39421.800000000003</v>
      </c>
      <c r="U258" s="5">
        <f t="shared" si="109"/>
        <v>0</v>
      </c>
    </row>
    <row r="259" spans="2:21">
      <c r="B259">
        <v>1</v>
      </c>
      <c r="C259" t="s">
        <v>100</v>
      </c>
      <c r="G259">
        <v>2000</v>
      </c>
      <c r="H259">
        <v>6</v>
      </c>
      <c r="I259">
        <v>0</v>
      </c>
      <c r="J259" t="s">
        <v>30</v>
      </c>
      <c r="K259" s="45" t="s">
        <v>35</v>
      </c>
      <c r="L259">
        <f t="shared" si="101"/>
        <v>2010</v>
      </c>
      <c r="M259" s="15">
        <f t="shared" si="102"/>
        <v>2010.5</v>
      </c>
      <c r="N259" s="5">
        <v>3609.72</v>
      </c>
      <c r="O259" s="5">
        <f t="shared" si="103"/>
        <v>3609.72</v>
      </c>
      <c r="P259" s="5">
        <f t="shared" si="104"/>
        <v>30.081</v>
      </c>
      <c r="Q259" s="5">
        <f t="shared" si="105"/>
        <v>360.97199999999998</v>
      </c>
      <c r="R259" s="5">
        <f t="shared" si="106"/>
        <v>0</v>
      </c>
      <c r="S259" s="5">
        <f t="shared" si="107"/>
        <v>3609.72</v>
      </c>
      <c r="T259" s="5">
        <f t="shared" si="108"/>
        <v>3609.72</v>
      </c>
      <c r="U259" s="5">
        <f t="shared" si="109"/>
        <v>0</v>
      </c>
    </row>
    <row r="260" spans="2:21">
      <c r="B260">
        <v>5</v>
      </c>
      <c r="C260" t="s">
        <v>84</v>
      </c>
      <c r="G260">
        <v>2000</v>
      </c>
      <c r="H260">
        <v>7</v>
      </c>
      <c r="I260">
        <v>0</v>
      </c>
      <c r="J260" t="s">
        <v>30</v>
      </c>
      <c r="K260" s="45" t="s">
        <v>35</v>
      </c>
      <c r="L260">
        <f t="shared" si="101"/>
        <v>2010</v>
      </c>
      <c r="M260" s="15">
        <f t="shared" si="102"/>
        <v>2010.5833333333333</v>
      </c>
      <c r="N260" s="5">
        <v>22284.720000000001</v>
      </c>
      <c r="O260" s="5">
        <f t="shared" si="103"/>
        <v>22284.720000000001</v>
      </c>
      <c r="P260" s="5">
        <f t="shared" si="104"/>
        <v>185.70600000000002</v>
      </c>
      <c r="Q260" s="5">
        <f t="shared" si="105"/>
        <v>2228.4720000000002</v>
      </c>
      <c r="R260" s="5">
        <f t="shared" si="106"/>
        <v>0</v>
      </c>
      <c r="S260" s="5">
        <f t="shared" si="107"/>
        <v>22284.720000000001</v>
      </c>
      <c r="T260" s="5">
        <f t="shared" si="108"/>
        <v>22284.720000000001</v>
      </c>
      <c r="U260" s="5">
        <f t="shared" si="109"/>
        <v>0</v>
      </c>
    </row>
    <row r="261" spans="2:21">
      <c r="B261">
        <v>2</v>
      </c>
      <c r="C261" t="s">
        <v>100</v>
      </c>
      <c r="G261">
        <v>2000</v>
      </c>
      <c r="H261">
        <v>8</v>
      </c>
      <c r="I261">
        <v>0</v>
      </c>
      <c r="J261" t="s">
        <v>30</v>
      </c>
      <c r="K261" s="45" t="s">
        <v>35</v>
      </c>
      <c r="L261">
        <f t="shared" si="101"/>
        <v>2010</v>
      </c>
      <c r="M261" s="15">
        <f t="shared" si="102"/>
        <v>2010.6666666666667</v>
      </c>
      <c r="N261" s="5">
        <v>7884.36</v>
      </c>
      <c r="O261" s="5">
        <f t="shared" si="103"/>
        <v>7884.36</v>
      </c>
      <c r="P261" s="5">
        <f t="shared" si="104"/>
        <v>65.702999999999989</v>
      </c>
      <c r="Q261" s="5">
        <f t="shared" si="105"/>
        <v>788.43599999999992</v>
      </c>
      <c r="R261" s="5">
        <f t="shared" si="106"/>
        <v>0</v>
      </c>
      <c r="S261" s="5">
        <f t="shared" si="107"/>
        <v>7884.36</v>
      </c>
      <c r="T261" s="5">
        <f t="shared" si="108"/>
        <v>7884.36</v>
      </c>
      <c r="U261" s="5">
        <f t="shared" si="109"/>
        <v>0</v>
      </c>
    </row>
    <row r="262" spans="2:21">
      <c r="B262">
        <v>1</v>
      </c>
      <c r="C262" t="s">
        <v>100</v>
      </c>
      <c r="G262">
        <v>2000</v>
      </c>
      <c r="H262">
        <v>8</v>
      </c>
      <c r="I262">
        <v>0</v>
      </c>
      <c r="J262" t="s">
        <v>30</v>
      </c>
      <c r="K262" s="45" t="s">
        <v>35</v>
      </c>
      <c r="L262">
        <f t="shared" ref="L262:L313" si="110">G262+K262</f>
        <v>2010</v>
      </c>
      <c r="M262" s="15">
        <f t="shared" ref="M262:M313" si="111">+L262+(H262/12)</f>
        <v>2010.6666666666667</v>
      </c>
      <c r="N262" s="5">
        <v>4023.63</v>
      </c>
      <c r="O262" s="5">
        <f t="shared" ref="O262:O313" si="112">N262-N262*I262</f>
        <v>4023.63</v>
      </c>
      <c r="P262" s="5">
        <f t="shared" ref="P262:P313" si="113">O262/K262/12</f>
        <v>33.530250000000002</v>
      </c>
      <c r="Q262" s="5">
        <f t="shared" ref="Q262:Q313" si="114">P262*12</f>
        <v>402.36300000000006</v>
      </c>
      <c r="R262" s="5">
        <f t="shared" si="106"/>
        <v>0</v>
      </c>
      <c r="S262" s="5">
        <f t="shared" si="107"/>
        <v>4023.63</v>
      </c>
      <c r="T262" s="5">
        <f t="shared" si="108"/>
        <v>4023.63</v>
      </c>
      <c r="U262" s="5">
        <f t="shared" si="109"/>
        <v>0</v>
      </c>
    </row>
    <row r="263" spans="2:21">
      <c r="B263">
        <v>1</v>
      </c>
      <c r="C263" t="s">
        <v>100</v>
      </c>
      <c r="G263">
        <v>2000</v>
      </c>
      <c r="H263">
        <v>8</v>
      </c>
      <c r="I263">
        <v>0</v>
      </c>
      <c r="J263" t="s">
        <v>30</v>
      </c>
      <c r="K263" s="45" t="s">
        <v>35</v>
      </c>
      <c r="L263">
        <f t="shared" si="110"/>
        <v>2010</v>
      </c>
      <c r="M263" s="15">
        <f t="shared" si="111"/>
        <v>2010.6666666666667</v>
      </c>
      <c r="N263" s="5">
        <v>4289.7</v>
      </c>
      <c r="O263" s="5">
        <f t="shared" si="112"/>
        <v>4289.7</v>
      </c>
      <c r="P263" s="5">
        <f t="shared" si="113"/>
        <v>35.747499999999995</v>
      </c>
      <c r="Q263" s="5">
        <f t="shared" si="114"/>
        <v>428.96999999999991</v>
      </c>
      <c r="R263" s="5">
        <f t="shared" ref="R263:R314" si="115">+IF(M263&lt;=$O$5,0,IF(L263&gt;$O$4,Q263,(P263*H263)))</f>
        <v>0</v>
      </c>
      <c r="S263" s="5">
        <f t="shared" ref="S263:S314" si="116">+IF(R263=0,N263,IF($O$3-G263&lt;1,0,(($O$3-G263)*Q263)))</f>
        <v>4289.7</v>
      </c>
      <c r="T263" s="5">
        <f t="shared" ref="T263:T314" si="117">+IF(R263=0,S263,S263+R263)</f>
        <v>4289.7</v>
      </c>
      <c r="U263" s="5">
        <f t="shared" ref="U263:U314" si="118">+N263-T263</f>
        <v>0</v>
      </c>
    </row>
    <row r="264" spans="2:21">
      <c r="B264">
        <v>2</v>
      </c>
      <c r="C264" t="s">
        <v>84</v>
      </c>
      <c r="G264">
        <v>2000</v>
      </c>
      <c r="H264">
        <v>9</v>
      </c>
      <c r="I264">
        <v>0</v>
      </c>
      <c r="J264" t="s">
        <v>30</v>
      </c>
      <c r="K264" s="45" t="s">
        <v>35</v>
      </c>
      <c r="L264">
        <f t="shared" si="110"/>
        <v>2010</v>
      </c>
      <c r="M264" s="15">
        <f t="shared" si="111"/>
        <v>2010.75</v>
      </c>
      <c r="N264" s="5">
        <v>7113.3</v>
      </c>
      <c r="O264" s="5">
        <f t="shared" si="112"/>
        <v>7113.3</v>
      </c>
      <c r="P264" s="5">
        <f t="shared" si="113"/>
        <v>59.277500000000003</v>
      </c>
      <c r="Q264" s="5">
        <f t="shared" si="114"/>
        <v>711.33</v>
      </c>
      <c r="R264" s="5">
        <f t="shared" si="115"/>
        <v>0</v>
      </c>
      <c r="S264" s="5">
        <f t="shared" si="116"/>
        <v>7113.3</v>
      </c>
      <c r="T264" s="5">
        <f t="shared" si="117"/>
        <v>7113.3</v>
      </c>
      <c r="U264" s="5">
        <f t="shared" si="118"/>
        <v>0</v>
      </c>
    </row>
    <row r="265" spans="2:21">
      <c r="B265">
        <v>1</v>
      </c>
      <c r="C265" t="s">
        <v>84</v>
      </c>
      <c r="G265">
        <v>2000</v>
      </c>
      <c r="H265">
        <v>9</v>
      </c>
      <c r="I265">
        <v>0</v>
      </c>
      <c r="J265" t="s">
        <v>30</v>
      </c>
      <c r="K265" s="45" t="s">
        <v>35</v>
      </c>
      <c r="L265">
        <f t="shared" si="110"/>
        <v>2010</v>
      </c>
      <c r="M265" s="15">
        <f t="shared" si="111"/>
        <v>2010.75</v>
      </c>
      <c r="N265" s="5">
        <v>2769.3</v>
      </c>
      <c r="O265" s="5">
        <f t="shared" si="112"/>
        <v>2769.3</v>
      </c>
      <c r="P265" s="5">
        <f t="shared" si="113"/>
        <v>23.077500000000001</v>
      </c>
      <c r="Q265" s="5">
        <f t="shared" si="114"/>
        <v>276.93</v>
      </c>
      <c r="R265" s="5">
        <f t="shared" si="115"/>
        <v>0</v>
      </c>
      <c r="S265" s="5">
        <f t="shared" si="116"/>
        <v>2769.3</v>
      </c>
      <c r="T265" s="5">
        <f t="shared" si="117"/>
        <v>2769.3</v>
      </c>
      <c r="U265" s="5">
        <f t="shared" si="118"/>
        <v>0</v>
      </c>
    </row>
    <row r="266" spans="2:21">
      <c r="B266">
        <v>1</v>
      </c>
      <c r="C266" t="s">
        <v>100</v>
      </c>
      <c r="G266">
        <v>2000</v>
      </c>
      <c r="H266">
        <v>9</v>
      </c>
      <c r="I266">
        <v>0</v>
      </c>
      <c r="J266" t="s">
        <v>30</v>
      </c>
      <c r="K266" s="45" t="s">
        <v>35</v>
      </c>
      <c r="L266">
        <f t="shared" si="110"/>
        <v>2010</v>
      </c>
      <c r="M266" s="15">
        <f t="shared" si="111"/>
        <v>2010.75</v>
      </c>
      <c r="N266" s="5">
        <v>3095.1</v>
      </c>
      <c r="O266" s="5">
        <f t="shared" si="112"/>
        <v>3095.1</v>
      </c>
      <c r="P266" s="5">
        <f t="shared" si="113"/>
        <v>25.7925</v>
      </c>
      <c r="Q266" s="5">
        <f t="shared" si="114"/>
        <v>309.51</v>
      </c>
      <c r="R266" s="5">
        <f t="shared" si="115"/>
        <v>0</v>
      </c>
      <c r="S266" s="5">
        <f t="shared" si="116"/>
        <v>3095.1</v>
      </c>
      <c r="T266" s="5">
        <f t="shared" si="117"/>
        <v>3095.1</v>
      </c>
      <c r="U266" s="5">
        <f t="shared" si="118"/>
        <v>0</v>
      </c>
    </row>
    <row r="267" spans="2:21">
      <c r="B267">
        <v>2</v>
      </c>
      <c r="C267" t="s">
        <v>84</v>
      </c>
      <c r="G267">
        <v>2000</v>
      </c>
      <c r="H267">
        <v>10</v>
      </c>
      <c r="I267">
        <v>0</v>
      </c>
      <c r="J267" t="s">
        <v>30</v>
      </c>
      <c r="K267" s="45" t="s">
        <v>35</v>
      </c>
      <c r="L267">
        <f t="shared" si="110"/>
        <v>2010</v>
      </c>
      <c r="M267" s="15">
        <f t="shared" si="111"/>
        <v>2010.8333333333333</v>
      </c>
      <c r="N267" s="5">
        <v>7276.2</v>
      </c>
      <c r="O267" s="5">
        <f t="shared" si="112"/>
        <v>7276.2</v>
      </c>
      <c r="P267" s="5">
        <f t="shared" si="113"/>
        <v>60.634999999999998</v>
      </c>
      <c r="Q267" s="5">
        <f t="shared" si="114"/>
        <v>727.62</v>
      </c>
      <c r="R267" s="5">
        <f t="shared" si="115"/>
        <v>0</v>
      </c>
      <c r="S267" s="5">
        <f t="shared" si="116"/>
        <v>7276.2</v>
      </c>
      <c r="T267" s="5">
        <f t="shared" si="117"/>
        <v>7276.2</v>
      </c>
      <c r="U267" s="5">
        <f t="shared" si="118"/>
        <v>0</v>
      </c>
    </row>
    <row r="268" spans="2:21">
      <c r="B268">
        <v>1</v>
      </c>
      <c r="C268" t="s">
        <v>100</v>
      </c>
      <c r="G268">
        <v>2000</v>
      </c>
      <c r="H268">
        <v>10</v>
      </c>
      <c r="I268">
        <v>0</v>
      </c>
      <c r="J268" t="s">
        <v>30</v>
      </c>
      <c r="K268" s="45" t="s">
        <v>35</v>
      </c>
      <c r="L268">
        <f t="shared" si="110"/>
        <v>2010</v>
      </c>
      <c r="M268" s="15">
        <f t="shared" si="111"/>
        <v>2010.8333333333333</v>
      </c>
      <c r="N268" s="5">
        <v>4023.63</v>
      </c>
      <c r="O268" s="5">
        <f t="shared" si="112"/>
        <v>4023.63</v>
      </c>
      <c r="P268" s="5">
        <f t="shared" si="113"/>
        <v>33.530250000000002</v>
      </c>
      <c r="Q268" s="5">
        <f t="shared" si="114"/>
        <v>402.36300000000006</v>
      </c>
      <c r="R268" s="5">
        <f t="shared" si="115"/>
        <v>0</v>
      </c>
      <c r="S268" s="5">
        <f t="shared" si="116"/>
        <v>4023.63</v>
      </c>
      <c r="T268" s="5">
        <f t="shared" si="117"/>
        <v>4023.63</v>
      </c>
      <c r="U268" s="5">
        <f t="shared" si="118"/>
        <v>0</v>
      </c>
    </row>
    <row r="269" spans="2:21">
      <c r="B269">
        <v>0</v>
      </c>
      <c r="C269" t="s">
        <v>100</v>
      </c>
      <c r="G269">
        <v>2001</v>
      </c>
      <c r="H269">
        <v>1</v>
      </c>
      <c r="I269">
        <v>0</v>
      </c>
      <c r="J269" t="s">
        <v>30</v>
      </c>
      <c r="K269" s="45" t="s">
        <v>35</v>
      </c>
      <c r="L269">
        <f t="shared" si="110"/>
        <v>2011</v>
      </c>
      <c r="M269" s="15">
        <f t="shared" si="111"/>
        <v>2011.0833333333333</v>
      </c>
      <c r="N269" s="5">
        <v>3625.98</v>
      </c>
      <c r="O269" s="5">
        <f t="shared" si="112"/>
        <v>3625.98</v>
      </c>
      <c r="P269" s="5">
        <f t="shared" si="113"/>
        <v>30.2165</v>
      </c>
      <c r="Q269" s="5">
        <f t="shared" si="114"/>
        <v>362.59800000000001</v>
      </c>
      <c r="R269" s="5">
        <f t="shared" si="115"/>
        <v>0</v>
      </c>
      <c r="S269" s="5">
        <f t="shared" si="116"/>
        <v>3625.98</v>
      </c>
      <c r="T269" s="5">
        <f t="shared" si="117"/>
        <v>3625.98</v>
      </c>
      <c r="U269" s="5">
        <f t="shared" si="118"/>
        <v>0</v>
      </c>
    </row>
    <row r="270" spans="2:21">
      <c r="B270">
        <v>1</v>
      </c>
      <c r="C270" t="s">
        <v>84</v>
      </c>
      <c r="G270">
        <v>2001</v>
      </c>
      <c r="H270">
        <v>2</v>
      </c>
      <c r="I270">
        <v>0</v>
      </c>
      <c r="J270" t="s">
        <v>30</v>
      </c>
      <c r="K270" s="45" t="s">
        <v>35</v>
      </c>
      <c r="L270">
        <f t="shared" si="110"/>
        <v>2011</v>
      </c>
      <c r="M270" s="15">
        <f t="shared" si="111"/>
        <v>2011.1666666666667</v>
      </c>
      <c r="N270" s="5">
        <v>2764.2</v>
      </c>
      <c r="O270" s="5">
        <f t="shared" si="112"/>
        <v>2764.2</v>
      </c>
      <c r="P270" s="5">
        <f t="shared" si="113"/>
        <v>23.034999999999997</v>
      </c>
      <c r="Q270" s="5">
        <f t="shared" si="114"/>
        <v>276.41999999999996</v>
      </c>
      <c r="R270" s="5">
        <f t="shared" si="115"/>
        <v>0</v>
      </c>
      <c r="S270" s="5">
        <f t="shared" si="116"/>
        <v>2764.2</v>
      </c>
      <c r="T270" s="5">
        <f t="shared" si="117"/>
        <v>2764.2</v>
      </c>
      <c r="U270" s="5">
        <f t="shared" si="118"/>
        <v>0</v>
      </c>
    </row>
    <row r="271" spans="2:21">
      <c r="B271">
        <v>4</v>
      </c>
      <c r="C271" t="s">
        <v>100</v>
      </c>
      <c r="G271">
        <v>2001</v>
      </c>
      <c r="H271">
        <v>4</v>
      </c>
      <c r="I271">
        <v>0</v>
      </c>
      <c r="J271" t="s">
        <v>30</v>
      </c>
      <c r="K271" s="45" t="s">
        <v>35</v>
      </c>
      <c r="L271">
        <f t="shared" si="110"/>
        <v>2011</v>
      </c>
      <c r="M271" s="15">
        <f t="shared" si="111"/>
        <v>2011.3333333333333</v>
      </c>
      <c r="N271" s="5">
        <v>17544</v>
      </c>
      <c r="O271" s="5">
        <f t="shared" si="112"/>
        <v>17544</v>
      </c>
      <c r="P271" s="5">
        <f t="shared" si="113"/>
        <v>146.20000000000002</v>
      </c>
      <c r="Q271" s="5">
        <f t="shared" si="114"/>
        <v>1754.4</v>
      </c>
      <c r="R271" s="5">
        <f t="shared" si="115"/>
        <v>0</v>
      </c>
      <c r="S271" s="5">
        <f t="shared" si="116"/>
        <v>17544</v>
      </c>
      <c r="T271" s="5">
        <f t="shared" si="117"/>
        <v>17544</v>
      </c>
      <c r="U271" s="5">
        <f t="shared" si="118"/>
        <v>0</v>
      </c>
    </row>
    <row r="272" spans="2:21">
      <c r="B272">
        <v>20</v>
      </c>
      <c r="C272" t="s">
        <v>84</v>
      </c>
      <c r="G272">
        <v>2001</v>
      </c>
      <c r="H272">
        <v>5</v>
      </c>
      <c r="I272">
        <v>0</v>
      </c>
      <c r="J272" t="s">
        <v>30</v>
      </c>
      <c r="K272" s="45" t="s">
        <v>35</v>
      </c>
      <c r="L272">
        <f t="shared" si="110"/>
        <v>2011</v>
      </c>
      <c r="M272" s="15">
        <f t="shared" si="111"/>
        <v>2011.4166666666667</v>
      </c>
      <c r="N272" s="5">
        <v>85516.800000000003</v>
      </c>
      <c r="O272" s="5">
        <f t="shared" si="112"/>
        <v>85516.800000000003</v>
      </c>
      <c r="P272" s="5">
        <f t="shared" si="113"/>
        <v>712.64</v>
      </c>
      <c r="Q272" s="5">
        <f t="shared" si="114"/>
        <v>8551.68</v>
      </c>
      <c r="R272" s="5">
        <f t="shared" si="115"/>
        <v>0</v>
      </c>
      <c r="S272" s="5">
        <f t="shared" si="116"/>
        <v>85516.800000000003</v>
      </c>
      <c r="T272" s="5">
        <f t="shared" si="117"/>
        <v>85516.800000000003</v>
      </c>
      <c r="U272" s="5">
        <f t="shared" si="118"/>
        <v>0</v>
      </c>
    </row>
    <row r="273" spans="2:21">
      <c r="B273">
        <v>4</v>
      </c>
      <c r="C273" t="s">
        <v>100</v>
      </c>
      <c r="G273">
        <v>2001</v>
      </c>
      <c r="H273">
        <v>5</v>
      </c>
      <c r="I273">
        <v>0</v>
      </c>
      <c r="J273" t="s">
        <v>30</v>
      </c>
      <c r="K273" s="45" t="s">
        <v>35</v>
      </c>
      <c r="L273">
        <f t="shared" si="110"/>
        <v>2011</v>
      </c>
      <c r="M273" s="15">
        <f t="shared" si="111"/>
        <v>2011.4166666666667</v>
      </c>
      <c r="N273" s="5">
        <v>20155.2</v>
      </c>
      <c r="O273" s="5">
        <f t="shared" si="112"/>
        <v>20155.2</v>
      </c>
      <c r="P273" s="5">
        <f t="shared" si="113"/>
        <v>167.96</v>
      </c>
      <c r="Q273" s="5">
        <f t="shared" si="114"/>
        <v>2015.52</v>
      </c>
      <c r="R273" s="5">
        <f t="shared" si="115"/>
        <v>0</v>
      </c>
      <c r="S273" s="5">
        <f t="shared" si="116"/>
        <v>20155.2</v>
      </c>
      <c r="T273" s="5">
        <f t="shared" si="117"/>
        <v>20155.2</v>
      </c>
      <c r="U273" s="5">
        <f t="shared" si="118"/>
        <v>0</v>
      </c>
    </row>
    <row r="274" spans="2:21">
      <c r="B274">
        <v>1</v>
      </c>
      <c r="C274" t="s">
        <v>84</v>
      </c>
      <c r="G274">
        <v>2001</v>
      </c>
      <c r="H274">
        <v>6</v>
      </c>
      <c r="I274">
        <v>0</v>
      </c>
      <c r="J274" t="s">
        <v>30</v>
      </c>
      <c r="K274" s="45" t="s">
        <v>35</v>
      </c>
      <c r="L274">
        <f t="shared" si="110"/>
        <v>2011</v>
      </c>
      <c r="M274" s="15">
        <f t="shared" si="111"/>
        <v>2011.5</v>
      </c>
      <c r="N274" s="5">
        <v>4031.04</v>
      </c>
      <c r="O274" s="5">
        <f t="shared" si="112"/>
        <v>4031.04</v>
      </c>
      <c r="P274" s="5">
        <f t="shared" si="113"/>
        <v>33.591999999999999</v>
      </c>
      <c r="Q274" s="5">
        <f t="shared" si="114"/>
        <v>403.10399999999998</v>
      </c>
      <c r="R274" s="5">
        <f t="shared" si="115"/>
        <v>0</v>
      </c>
      <c r="S274" s="5">
        <f t="shared" si="116"/>
        <v>4031.04</v>
      </c>
      <c r="T274" s="5">
        <f t="shared" si="117"/>
        <v>4031.04</v>
      </c>
      <c r="U274" s="5">
        <f t="shared" si="118"/>
        <v>0</v>
      </c>
    </row>
    <row r="275" spans="2:21">
      <c r="B275">
        <v>1</v>
      </c>
      <c r="C275" t="s">
        <v>87</v>
      </c>
      <c r="G275">
        <v>2001</v>
      </c>
      <c r="H275">
        <v>8</v>
      </c>
      <c r="I275">
        <v>0</v>
      </c>
      <c r="J275" t="s">
        <v>30</v>
      </c>
      <c r="K275" s="45" t="s">
        <v>35</v>
      </c>
      <c r="L275">
        <f t="shared" si="110"/>
        <v>2011</v>
      </c>
      <c r="M275" s="15">
        <f t="shared" si="111"/>
        <v>2011.6666666666667</v>
      </c>
      <c r="N275" s="5">
        <v>6201.6</v>
      </c>
      <c r="O275" s="5">
        <f t="shared" si="112"/>
        <v>6201.6</v>
      </c>
      <c r="P275" s="5">
        <f t="shared" si="113"/>
        <v>51.680000000000007</v>
      </c>
      <c r="Q275" s="5">
        <f t="shared" si="114"/>
        <v>620.16000000000008</v>
      </c>
      <c r="R275" s="5">
        <f t="shared" si="115"/>
        <v>0</v>
      </c>
      <c r="S275" s="5">
        <f t="shared" si="116"/>
        <v>6201.6</v>
      </c>
      <c r="T275" s="5">
        <f t="shared" si="117"/>
        <v>6201.6</v>
      </c>
      <c r="U275" s="5">
        <f t="shared" si="118"/>
        <v>0</v>
      </c>
    </row>
    <row r="276" spans="2:21">
      <c r="B276">
        <v>2</v>
      </c>
      <c r="C276" t="s">
        <v>100</v>
      </c>
      <c r="G276">
        <v>2002</v>
      </c>
      <c r="H276">
        <v>3</v>
      </c>
      <c r="I276">
        <v>0</v>
      </c>
      <c r="J276" t="s">
        <v>30</v>
      </c>
      <c r="K276" s="45" t="s">
        <v>35</v>
      </c>
      <c r="L276">
        <f t="shared" si="110"/>
        <v>2012</v>
      </c>
      <c r="M276" s="15">
        <f t="shared" si="111"/>
        <v>2012.25</v>
      </c>
      <c r="N276" s="5">
        <v>8279.68</v>
      </c>
      <c r="O276" s="5">
        <f t="shared" si="112"/>
        <v>8279.68</v>
      </c>
      <c r="P276" s="5">
        <f t="shared" si="113"/>
        <v>68.997333333333344</v>
      </c>
      <c r="Q276" s="5">
        <f t="shared" si="114"/>
        <v>827.96800000000007</v>
      </c>
      <c r="R276" s="5">
        <f t="shared" si="115"/>
        <v>0</v>
      </c>
      <c r="S276" s="5">
        <f t="shared" si="116"/>
        <v>8279.68</v>
      </c>
      <c r="T276" s="5">
        <f t="shared" si="117"/>
        <v>8279.68</v>
      </c>
      <c r="U276" s="5">
        <f t="shared" si="118"/>
        <v>0</v>
      </c>
    </row>
    <row r="277" spans="2:21">
      <c r="B277">
        <v>4</v>
      </c>
      <c r="C277" t="s">
        <v>84</v>
      </c>
      <c r="G277">
        <v>2003</v>
      </c>
      <c r="H277">
        <v>4</v>
      </c>
      <c r="I277">
        <v>0</v>
      </c>
      <c r="J277" t="s">
        <v>30</v>
      </c>
      <c r="K277" s="45" t="s">
        <v>35</v>
      </c>
      <c r="L277">
        <f t="shared" si="110"/>
        <v>2013</v>
      </c>
      <c r="M277" s="15">
        <f t="shared" si="111"/>
        <v>2013.3333333333333</v>
      </c>
      <c r="N277" s="5">
        <v>17342.72</v>
      </c>
      <c r="O277" s="5">
        <f t="shared" si="112"/>
        <v>17342.72</v>
      </c>
      <c r="P277" s="5">
        <f t="shared" si="113"/>
        <v>144.52266666666668</v>
      </c>
      <c r="Q277" s="5">
        <f t="shared" si="114"/>
        <v>1734.2720000000002</v>
      </c>
      <c r="R277" s="5">
        <f t="shared" si="115"/>
        <v>0</v>
      </c>
      <c r="S277" s="5">
        <f t="shared" si="116"/>
        <v>17342.72</v>
      </c>
      <c r="T277" s="5">
        <f t="shared" si="117"/>
        <v>17342.72</v>
      </c>
      <c r="U277" s="5">
        <f t="shared" si="118"/>
        <v>0</v>
      </c>
    </row>
    <row r="278" spans="2:21">
      <c r="B278" s="17">
        <v>1</v>
      </c>
      <c r="C278" t="s">
        <v>117</v>
      </c>
      <c r="G278">
        <v>2003</v>
      </c>
      <c r="H278">
        <v>4</v>
      </c>
      <c r="I278">
        <v>0</v>
      </c>
      <c r="J278" t="s">
        <v>30</v>
      </c>
      <c r="K278" s="45" t="s">
        <v>35</v>
      </c>
      <c r="L278">
        <f t="shared" si="110"/>
        <v>2013</v>
      </c>
      <c r="M278" s="15">
        <f t="shared" si="111"/>
        <v>2013.3333333333333</v>
      </c>
      <c r="N278" s="5">
        <v>4836.16</v>
      </c>
      <c r="O278" s="5">
        <f t="shared" si="112"/>
        <v>4836.16</v>
      </c>
      <c r="P278" s="5">
        <f t="shared" si="113"/>
        <v>40.301333333333332</v>
      </c>
      <c r="Q278" s="5">
        <f t="shared" si="114"/>
        <v>483.61599999999999</v>
      </c>
      <c r="R278" s="5">
        <f t="shared" si="115"/>
        <v>0</v>
      </c>
      <c r="S278" s="5">
        <f t="shared" si="116"/>
        <v>4836.16</v>
      </c>
      <c r="T278" s="5">
        <f t="shared" si="117"/>
        <v>4836.16</v>
      </c>
      <c r="U278" s="5">
        <f t="shared" si="118"/>
        <v>0</v>
      </c>
    </row>
    <row r="279" spans="2:21">
      <c r="B279">
        <v>15</v>
      </c>
      <c r="C279" t="s">
        <v>100</v>
      </c>
      <c r="G279">
        <v>2004</v>
      </c>
      <c r="H279">
        <v>3</v>
      </c>
      <c r="I279">
        <v>0</v>
      </c>
      <c r="J279" t="s">
        <v>30</v>
      </c>
      <c r="K279" s="45" t="s">
        <v>35</v>
      </c>
      <c r="L279">
        <f t="shared" si="110"/>
        <v>2014</v>
      </c>
      <c r="M279" s="15">
        <f t="shared" si="111"/>
        <v>2014.25</v>
      </c>
      <c r="N279" s="5">
        <v>73342.080000000002</v>
      </c>
      <c r="O279" s="5">
        <f t="shared" si="112"/>
        <v>73342.080000000002</v>
      </c>
      <c r="P279" s="5">
        <f t="shared" si="113"/>
        <v>611.18400000000008</v>
      </c>
      <c r="Q279" s="5">
        <f t="shared" si="114"/>
        <v>7334.2080000000005</v>
      </c>
      <c r="R279" s="5">
        <f t="shared" si="115"/>
        <v>0</v>
      </c>
      <c r="S279" s="5">
        <f t="shared" si="116"/>
        <v>73342.080000000002</v>
      </c>
      <c r="T279" s="5">
        <f t="shared" si="117"/>
        <v>73342.080000000002</v>
      </c>
      <c r="U279" s="5">
        <f t="shared" si="118"/>
        <v>0</v>
      </c>
    </row>
    <row r="280" spans="2:21">
      <c r="B280" s="17">
        <v>1</v>
      </c>
      <c r="C280" t="s">
        <v>117</v>
      </c>
      <c r="G280">
        <v>2004</v>
      </c>
      <c r="H280">
        <v>5</v>
      </c>
      <c r="I280">
        <v>0</v>
      </c>
      <c r="J280" t="s">
        <v>30</v>
      </c>
      <c r="K280" s="45" t="s">
        <v>35</v>
      </c>
      <c r="L280">
        <f t="shared" si="110"/>
        <v>2014</v>
      </c>
      <c r="M280" s="15">
        <f t="shared" si="111"/>
        <v>2014.4166666666667</v>
      </c>
      <c r="N280" s="5">
        <v>6065.6</v>
      </c>
      <c r="O280" s="5">
        <f t="shared" si="112"/>
        <v>6065.6</v>
      </c>
      <c r="P280" s="5">
        <f t="shared" si="113"/>
        <v>50.546666666666674</v>
      </c>
      <c r="Q280" s="5">
        <f t="shared" si="114"/>
        <v>606.56000000000006</v>
      </c>
      <c r="R280" s="5">
        <f t="shared" si="115"/>
        <v>0</v>
      </c>
      <c r="S280" s="5">
        <f t="shared" si="116"/>
        <v>6065.6</v>
      </c>
      <c r="T280" s="5">
        <f t="shared" si="117"/>
        <v>6065.6</v>
      </c>
      <c r="U280" s="5">
        <f t="shared" si="118"/>
        <v>0</v>
      </c>
    </row>
    <row r="281" spans="2:21">
      <c r="B281">
        <v>13</v>
      </c>
      <c r="C281" t="s">
        <v>100</v>
      </c>
      <c r="G281">
        <v>2004</v>
      </c>
      <c r="H281">
        <v>11</v>
      </c>
      <c r="I281">
        <v>0</v>
      </c>
      <c r="J281" t="s">
        <v>30</v>
      </c>
      <c r="K281" s="45" t="s">
        <v>35</v>
      </c>
      <c r="L281">
        <f t="shared" si="110"/>
        <v>2014</v>
      </c>
      <c r="M281" s="15">
        <f t="shared" si="111"/>
        <v>2014.9166666666667</v>
      </c>
      <c r="N281" s="5">
        <v>61744</v>
      </c>
      <c r="O281" s="5">
        <f t="shared" si="112"/>
        <v>61744</v>
      </c>
      <c r="P281" s="5">
        <f t="shared" si="113"/>
        <v>514.5333333333333</v>
      </c>
      <c r="Q281" s="5">
        <f t="shared" si="114"/>
        <v>6174.4</v>
      </c>
      <c r="R281" s="5">
        <f t="shared" si="115"/>
        <v>0</v>
      </c>
      <c r="S281" s="5">
        <f t="shared" si="116"/>
        <v>61744</v>
      </c>
      <c r="T281" s="5">
        <f t="shared" si="117"/>
        <v>61744</v>
      </c>
      <c r="U281" s="5">
        <f t="shared" si="118"/>
        <v>0</v>
      </c>
    </row>
    <row r="282" spans="2:21">
      <c r="B282" s="17">
        <v>1</v>
      </c>
      <c r="C282" t="s">
        <v>117</v>
      </c>
      <c r="G282">
        <v>2004</v>
      </c>
      <c r="H282">
        <v>12</v>
      </c>
      <c r="I282">
        <v>0</v>
      </c>
      <c r="J282" t="s">
        <v>30</v>
      </c>
      <c r="K282" s="45" t="s">
        <v>35</v>
      </c>
      <c r="L282">
        <f t="shared" si="110"/>
        <v>2014</v>
      </c>
      <c r="M282" s="15">
        <f t="shared" si="111"/>
        <v>2015</v>
      </c>
      <c r="N282" s="5">
        <v>6457.28</v>
      </c>
      <c r="O282" s="5">
        <f t="shared" si="112"/>
        <v>6457.28</v>
      </c>
      <c r="P282" s="5">
        <f t="shared" si="113"/>
        <v>53.810666666666663</v>
      </c>
      <c r="Q282" s="5">
        <f t="shared" si="114"/>
        <v>645.72799999999995</v>
      </c>
      <c r="R282" s="5">
        <f t="shared" si="115"/>
        <v>0</v>
      </c>
      <c r="S282" s="5">
        <f t="shared" si="116"/>
        <v>6457.28</v>
      </c>
      <c r="T282" s="5">
        <f t="shared" si="117"/>
        <v>6457.28</v>
      </c>
      <c r="U282" s="5">
        <f t="shared" si="118"/>
        <v>0</v>
      </c>
    </row>
    <row r="283" spans="2:21">
      <c r="B283">
        <v>4</v>
      </c>
      <c r="C283" t="s">
        <v>100</v>
      </c>
      <c r="G283">
        <v>2005</v>
      </c>
      <c r="H283">
        <v>4</v>
      </c>
      <c r="I283">
        <v>0</v>
      </c>
      <c r="J283" t="s">
        <v>30</v>
      </c>
      <c r="K283" s="45" t="s">
        <v>35</v>
      </c>
      <c r="L283">
        <f t="shared" si="110"/>
        <v>2015</v>
      </c>
      <c r="M283" s="15">
        <f t="shared" si="111"/>
        <v>2015.3333333333333</v>
      </c>
      <c r="N283" s="5">
        <v>17560.32</v>
      </c>
      <c r="O283" s="5">
        <f t="shared" si="112"/>
        <v>17560.32</v>
      </c>
      <c r="P283" s="5">
        <f t="shared" si="113"/>
        <v>146.33599999999998</v>
      </c>
      <c r="Q283" s="5">
        <f t="shared" si="114"/>
        <v>1756.0319999999997</v>
      </c>
      <c r="R283" s="5">
        <f t="shared" si="115"/>
        <v>0</v>
      </c>
      <c r="S283" s="5">
        <f t="shared" si="116"/>
        <v>17560.32</v>
      </c>
      <c r="T283" s="5">
        <f t="shared" si="117"/>
        <v>17560.32</v>
      </c>
      <c r="U283" s="5">
        <f t="shared" si="118"/>
        <v>0</v>
      </c>
    </row>
    <row r="284" spans="2:21">
      <c r="B284">
        <v>2</v>
      </c>
      <c r="C284" t="s">
        <v>100</v>
      </c>
      <c r="G284">
        <v>2005</v>
      </c>
      <c r="H284">
        <v>4</v>
      </c>
      <c r="I284">
        <v>0</v>
      </c>
      <c r="J284" t="s">
        <v>30</v>
      </c>
      <c r="K284" s="45" t="s">
        <v>35</v>
      </c>
      <c r="L284">
        <f t="shared" si="110"/>
        <v>2015</v>
      </c>
      <c r="M284" s="15">
        <f t="shared" si="111"/>
        <v>2015.3333333333333</v>
      </c>
      <c r="N284" s="5">
        <v>11706.88</v>
      </c>
      <c r="O284" s="5">
        <f t="shared" si="112"/>
        <v>11706.88</v>
      </c>
      <c r="P284" s="5">
        <f t="shared" si="113"/>
        <v>97.557333333333318</v>
      </c>
      <c r="Q284" s="5">
        <f t="shared" si="114"/>
        <v>1170.6879999999999</v>
      </c>
      <c r="R284" s="5">
        <f t="shared" si="115"/>
        <v>0</v>
      </c>
      <c r="S284" s="5">
        <f t="shared" si="116"/>
        <v>11706.88</v>
      </c>
      <c r="T284" s="5">
        <f t="shared" si="117"/>
        <v>11706.88</v>
      </c>
      <c r="U284" s="5">
        <f t="shared" si="118"/>
        <v>0</v>
      </c>
    </row>
    <row r="285" spans="2:21">
      <c r="B285">
        <v>1</v>
      </c>
      <c r="C285" t="s">
        <v>71</v>
      </c>
      <c r="G285">
        <v>2005</v>
      </c>
      <c r="H285">
        <v>4</v>
      </c>
      <c r="I285">
        <v>0</v>
      </c>
      <c r="J285" t="s">
        <v>30</v>
      </c>
      <c r="K285" s="45" t="s">
        <v>35</v>
      </c>
      <c r="L285">
        <f t="shared" si="110"/>
        <v>2015</v>
      </c>
      <c r="M285" s="15">
        <f t="shared" si="111"/>
        <v>2015.3333333333333</v>
      </c>
      <c r="N285" s="5">
        <v>3107.33</v>
      </c>
      <c r="O285" s="5">
        <f t="shared" si="112"/>
        <v>3107.33</v>
      </c>
      <c r="P285" s="5">
        <f t="shared" si="113"/>
        <v>25.894416666666668</v>
      </c>
      <c r="Q285" s="5">
        <f t="shared" si="114"/>
        <v>310.733</v>
      </c>
      <c r="R285" s="5">
        <f t="shared" si="115"/>
        <v>0</v>
      </c>
      <c r="S285" s="5">
        <f t="shared" si="116"/>
        <v>3107.33</v>
      </c>
      <c r="T285" s="5">
        <f t="shared" si="117"/>
        <v>3107.33</v>
      </c>
      <c r="U285" s="5">
        <f t="shared" si="118"/>
        <v>0</v>
      </c>
    </row>
    <row r="286" spans="2:21">
      <c r="B286" s="17">
        <v>12</v>
      </c>
      <c r="C286" t="s">
        <v>117</v>
      </c>
      <c r="G286">
        <v>2005</v>
      </c>
      <c r="H286">
        <v>4</v>
      </c>
      <c r="I286">
        <v>0</v>
      </c>
      <c r="J286" t="s">
        <v>30</v>
      </c>
      <c r="K286" s="45" t="s">
        <v>35</v>
      </c>
      <c r="L286">
        <f t="shared" si="110"/>
        <v>2015</v>
      </c>
      <c r="M286" s="15">
        <f t="shared" si="111"/>
        <v>2015.3333333333333</v>
      </c>
      <c r="N286" s="5">
        <v>65149.440000000002</v>
      </c>
      <c r="O286" s="5">
        <f t="shared" si="112"/>
        <v>65149.440000000002</v>
      </c>
      <c r="P286" s="5">
        <f t="shared" si="113"/>
        <v>542.91200000000003</v>
      </c>
      <c r="Q286" s="5">
        <f t="shared" si="114"/>
        <v>6514.9440000000004</v>
      </c>
      <c r="R286" s="5">
        <f t="shared" si="115"/>
        <v>0</v>
      </c>
      <c r="S286" s="5">
        <f t="shared" si="116"/>
        <v>65149.440000000002</v>
      </c>
      <c r="T286" s="5">
        <f t="shared" si="117"/>
        <v>65149.440000000002</v>
      </c>
      <c r="U286" s="5">
        <f t="shared" si="118"/>
        <v>0</v>
      </c>
    </row>
    <row r="287" spans="2:21">
      <c r="B287" s="17">
        <v>5</v>
      </c>
      <c r="C287" t="s">
        <v>117</v>
      </c>
      <c r="G287">
        <v>2005</v>
      </c>
      <c r="H287">
        <v>4</v>
      </c>
      <c r="I287">
        <v>0</v>
      </c>
      <c r="J287" t="s">
        <v>30</v>
      </c>
      <c r="K287" s="45" t="s">
        <v>35</v>
      </c>
      <c r="L287">
        <f t="shared" si="110"/>
        <v>2015</v>
      </c>
      <c r="M287" s="15">
        <f t="shared" si="111"/>
        <v>2015.3333333333333</v>
      </c>
      <c r="N287" s="5">
        <v>24342.91</v>
      </c>
      <c r="O287" s="5">
        <f t="shared" si="112"/>
        <v>24342.91</v>
      </c>
      <c r="P287" s="5">
        <f t="shared" si="113"/>
        <v>202.85758333333334</v>
      </c>
      <c r="Q287" s="5">
        <f t="shared" si="114"/>
        <v>2434.2910000000002</v>
      </c>
      <c r="R287" s="5">
        <f t="shared" si="115"/>
        <v>0</v>
      </c>
      <c r="S287" s="5">
        <f t="shared" si="116"/>
        <v>24342.91</v>
      </c>
      <c r="T287" s="5">
        <f t="shared" si="117"/>
        <v>24342.91</v>
      </c>
      <c r="U287" s="5">
        <f t="shared" si="118"/>
        <v>0</v>
      </c>
    </row>
    <row r="288" spans="2:21">
      <c r="B288" s="17">
        <v>2</v>
      </c>
      <c r="C288" t="s">
        <v>117</v>
      </c>
      <c r="G288">
        <v>2005</v>
      </c>
      <c r="H288">
        <v>4</v>
      </c>
      <c r="I288">
        <v>0</v>
      </c>
      <c r="J288" t="s">
        <v>30</v>
      </c>
      <c r="K288" s="45" t="s">
        <v>35</v>
      </c>
      <c r="L288">
        <f t="shared" si="110"/>
        <v>2015</v>
      </c>
      <c r="M288" s="15">
        <f t="shared" si="111"/>
        <v>2015.3333333333333</v>
      </c>
      <c r="N288" s="5">
        <v>13247.49</v>
      </c>
      <c r="O288" s="5">
        <f t="shared" si="112"/>
        <v>13247.49</v>
      </c>
      <c r="P288" s="5">
        <f t="shared" si="113"/>
        <v>110.39575000000001</v>
      </c>
      <c r="Q288" s="5">
        <f t="shared" si="114"/>
        <v>1324.749</v>
      </c>
      <c r="R288" s="5">
        <f t="shared" si="115"/>
        <v>0</v>
      </c>
      <c r="S288" s="5">
        <f t="shared" si="116"/>
        <v>13247.49</v>
      </c>
      <c r="T288" s="5">
        <f t="shared" si="117"/>
        <v>13247.49</v>
      </c>
      <c r="U288" s="5">
        <f t="shared" si="118"/>
        <v>0</v>
      </c>
    </row>
    <row r="289" spans="2:21">
      <c r="B289" s="17">
        <v>1</v>
      </c>
      <c r="C289" t="s">
        <v>117</v>
      </c>
      <c r="G289">
        <v>2005</v>
      </c>
      <c r="H289">
        <v>4</v>
      </c>
      <c r="I289">
        <v>0</v>
      </c>
      <c r="J289" t="s">
        <v>30</v>
      </c>
      <c r="K289" s="45" t="s">
        <v>35</v>
      </c>
      <c r="L289">
        <f t="shared" si="110"/>
        <v>2015</v>
      </c>
      <c r="M289" s="15">
        <f t="shared" si="111"/>
        <v>2015.3333333333333</v>
      </c>
      <c r="N289" s="5">
        <v>6457.28</v>
      </c>
      <c r="O289" s="5">
        <f t="shared" si="112"/>
        <v>6457.28</v>
      </c>
      <c r="P289" s="5">
        <f t="shared" si="113"/>
        <v>53.810666666666663</v>
      </c>
      <c r="Q289" s="5">
        <f t="shared" si="114"/>
        <v>645.72799999999995</v>
      </c>
      <c r="R289" s="5">
        <f t="shared" si="115"/>
        <v>0</v>
      </c>
      <c r="S289" s="5">
        <f t="shared" si="116"/>
        <v>6457.28</v>
      </c>
      <c r="T289" s="5">
        <f t="shared" si="117"/>
        <v>6457.28</v>
      </c>
      <c r="U289" s="5">
        <f t="shared" si="118"/>
        <v>0</v>
      </c>
    </row>
    <row r="290" spans="2:21">
      <c r="B290" s="17">
        <v>4</v>
      </c>
      <c r="C290" t="s">
        <v>117</v>
      </c>
      <c r="G290">
        <v>2005</v>
      </c>
      <c r="H290">
        <v>6</v>
      </c>
      <c r="I290">
        <v>0</v>
      </c>
      <c r="J290" t="s">
        <v>30</v>
      </c>
      <c r="K290" s="45" t="s">
        <v>35</v>
      </c>
      <c r="L290">
        <f t="shared" si="110"/>
        <v>2015</v>
      </c>
      <c r="M290" s="15">
        <f t="shared" si="111"/>
        <v>2015.5</v>
      </c>
      <c r="N290" s="5">
        <v>19045.439999999999</v>
      </c>
      <c r="O290" s="5">
        <f t="shared" si="112"/>
        <v>19045.439999999999</v>
      </c>
      <c r="P290" s="5">
        <f t="shared" si="113"/>
        <v>158.71199999999999</v>
      </c>
      <c r="Q290" s="5">
        <f t="shared" si="114"/>
        <v>1904.5439999999999</v>
      </c>
      <c r="R290" s="5">
        <f t="shared" si="115"/>
        <v>0</v>
      </c>
      <c r="S290" s="5">
        <f t="shared" si="116"/>
        <v>19045.439999999999</v>
      </c>
      <c r="T290" s="5">
        <f t="shared" si="117"/>
        <v>19045.439999999999</v>
      </c>
      <c r="U290" s="5">
        <f t="shared" si="118"/>
        <v>0</v>
      </c>
    </row>
    <row r="291" spans="2:21">
      <c r="B291">
        <v>5</v>
      </c>
      <c r="C291" t="s">
        <v>100</v>
      </c>
      <c r="G291">
        <v>2005</v>
      </c>
      <c r="H291">
        <v>7</v>
      </c>
      <c r="I291">
        <v>0</v>
      </c>
      <c r="J291" t="s">
        <v>30</v>
      </c>
      <c r="K291" s="45" t="s">
        <v>35</v>
      </c>
      <c r="L291">
        <f t="shared" si="110"/>
        <v>2015</v>
      </c>
      <c r="M291" s="15">
        <f t="shared" si="111"/>
        <v>2015.5833333333333</v>
      </c>
      <c r="N291" s="5">
        <v>23413.759999999998</v>
      </c>
      <c r="O291" s="5">
        <f t="shared" si="112"/>
        <v>23413.759999999998</v>
      </c>
      <c r="P291" s="5">
        <f t="shared" si="113"/>
        <v>195.11466666666664</v>
      </c>
      <c r="Q291" s="5">
        <f t="shared" si="114"/>
        <v>2341.3759999999997</v>
      </c>
      <c r="R291" s="5">
        <f t="shared" si="115"/>
        <v>0</v>
      </c>
      <c r="S291" s="5">
        <f t="shared" si="116"/>
        <v>23413.759999999998</v>
      </c>
      <c r="T291" s="5">
        <f t="shared" si="117"/>
        <v>23413.759999999998</v>
      </c>
      <c r="U291" s="5">
        <f t="shared" si="118"/>
        <v>0</v>
      </c>
    </row>
    <row r="292" spans="2:21">
      <c r="B292" s="17">
        <v>3</v>
      </c>
      <c r="C292" t="s">
        <v>117</v>
      </c>
      <c r="G292">
        <v>2005</v>
      </c>
      <c r="H292">
        <v>8</v>
      </c>
      <c r="I292">
        <v>0</v>
      </c>
      <c r="J292" t="s">
        <v>30</v>
      </c>
      <c r="K292" s="45" t="s">
        <v>35</v>
      </c>
      <c r="L292">
        <f t="shared" si="110"/>
        <v>2015</v>
      </c>
      <c r="M292" s="15">
        <f t="shared" si="111"/>
        <v>2015.6666666666667</v>
      </c>
      <c r="N292" s="5">
        <v>15181.96</v>
      </c>
      <c r="O292" s="5">
        <f t="shared" si="112"/>
        <v>15181.96</v>
      </c>
      <c r="P292" s="5">
        <f t="shared" si="113"/>
        <v>126.51633333333332</v>
      </c>
      <c r="Q292" s="5">
        <f t="shared" si="114"/>
        <v>1518.1959999999999</v>
      </c>
      <c r="R292" s="5">
        <f t="shared" si="115"/>
        <v>0</v>
      </c>
      <c r="S292" s="5">
        <f t="shared" si="116"/>
        <v>15181.96</v>
      </c>
      <c r="T292" s="5">
        <f t="shared" si="117"/>
        <v>15181.96</v>
      </c>
      <c r="U292" s="5">
        <f t="shared" si="118"/>
        <v>0</v>
      </c>
    </row>
    <row r="293" spans="2:21">
      <c r="B293" s="17">
        <v>2</v>
      </c>
      <c r="C293" t="s">
        <v>117</v>
      </c>
      <c r="G293">
        <v>2005</v>
      </c>
      <c r="H293">
        <v>8</v>
      </c>
      <c r="I293">
        <v>0</v>
      </c>
      <c r="J293" t="s">
        <v>30</v>
      </c>
      <c r="K293" s="45" t="s">
        <v>35</v>
      </c>
      <c r="L293">
        <f t="shared" si="110"/>
        <v>2015</v>
      </c>
      <c r="M293" s="15">
        <f t="shared" si="111"/>
        <v>2015.6666666666667</v>
      </c>
      <c r="N293" s="5">
        <v>10877.83</v>
      </c>
      <c r="O293" s="5">
        <f t="shared" si="112"/>
        <v>10877.83</v>
      </c>
      <c r="P293" s="5">
        <f t="shared" si="113"/>
        <v>90.64858333333332</v>
      </c>
      <c r="Q293" s="5">
        <f t="shared" si="114"/>
        <v>1087.7829999999999</v>
      </c>
      <c r="R293" s="5">
        <f t="shared" si="115"/>
        <v>0</v>
      </c>
      <c r="S293" s="5">
        <f t="shared" si="116"/>
        <v>10877.83</v>
      </c>
      <c r="T293" s="5">
        <f t="shared" si="117"/>
        <v>10877.83</v>
      </c>
      <c r="U293" s="5">
        <f t="shared" si="118"/>
        <v>0</v>
      </c>
    </row>
    <row r="294" spans="2:21">
      <c r="B294">
        <v>3</v>
      </c>
      <c r="C294" t="s">
        <v>100</v>
      </c>
      <c r="G294">
        <v>2005</v>
      </c>
      <c r="H294">
        <v>9</v>
      </c>
      <c r="I294">
        <v>0</v>
      </c>
      <c r="J294" t="s">
        <v>30</v>
      </c>
      <c r="K294" s="45" t="s">
        <v>35</v>
      </c>
      <c r="L294">
        <f t="shared" si="110"/>
        <v>2015</v>
      </c>
      <c r="M294" s="15">
        <f t="shared" si="111"/>
        <v>2015.75</v>
      </c>
      <c r="N294" s="5">
        <f>13233+1164.5</f>
        <v>14397.5</v>
      </c>
      <c r="O294" s="5">
        <f t="shared" si="112"/>
        <v>14397.5</v>
      </c>
      <c r="P294" s="5">
        <f t="shared" si="113"/>
        <v>119.97916666666667</v>
      </c>
      <c r="Q294" s="5">
        <f t="shared" si="114"/>
        <v>1439.75</v>
      </c>
      <c r="R294" s="5">
        <f t="shared" si="115"/>
        <v>0</v>
      </c>
      <c r="S294" s="5">
        <f t="shared" si="116"/>
        <v>14397.5</v>
      </c>
      <c r="T294" s="5">
        <f t="shared" si="117"/>
        <v>14397.5</v>
      </c>
      <c r="U294" s="5">
        <f t="shared" si="118"/>
        <v>0</v>
      </c>
    </row>
    <row r="295" spans="2:21">
      <c r="B295" s="17">
        <v>9</v>
      </c>
      <c r="C295" t="s">
        <v>113</v>
      </c>
      <c r="G295">
        <v>2005</v>
      </c>
      <c r="H295">
        <v>9</v>
      </c>
      <c r="I295">
        <v>0</v>
      </c>
      <c r="J295" t="s">
        <v>30</v>
      </c>
      <c r="K295" s="45" t="s">
        <v>35</v>
      </c>
      <c r="L295">
        <f t="shared" si="110"/>
        <v>2015</v>
      </c>
      <c r="M295" s="15">
        <f t="shared" si="111"/>
        <v>2015.75</v>
      </c>
      <c r="N295" s="5">
        <v>51179.519999999997</v>
      </c>
      <c r="O295" s="5">
        <f t="shared" si="112"/>
        <v>51179.519999999997</v>
      </c>
      <c r="P295" s="5">
        <f t="shared" si="113"/>
        <v>426.49599999999992</v>
      </c>
      <c r="Q295" s="5">
        <f t="shared" si="114"/>
        <v>5117.9519999999993</v>
      </c>
      <c r="R295" s="5">
        <f t="shared" si="115"/>
        <v>0</v>
      </c>
      <c r="S295" s="5">
        <f t="shared" si="116"/>
        <v>51179.519999999997</v>
      </c>
      <c r="T295" s="5">
        <f t="shared" si="117"/>
        <v>51179.519999999997</v>
      </c>
      <c r="U295" s="5">
        <f t="shared" si="118"/>
        <v>0</v>
      </c>
    </row>
    <row r="296" spans="2:21">
      <c r="B296">
        <v>4</v>
      </c>
      <c r="C296" t="s">
        <v>86</v>
      </c>
      <c r="G296">
        <v>2005</v>
      </c>
      <c r="H296">
        <v>12</v>
      </c>
      <c r="I296">
        <v>0</v>
      </c>
      <c r="J296" t="s">
        <v>30</v>
      </c>
      <c r="K296" s="45" t="s">
        <v>35</v>
      </c>
      <c r="L296">
        <f t="shared" si="110"/>
        <v>2015</v>
      </c>
      <c r="M296" s="15">
        <f t="shared" si="111"/>
        <v>2016</v>
      </c>
      <c r="N296" s="5">
        <v>14939.33</v>
      </c>
      <c r="O296" s="5">
        <f t="shared" si="112"/>
        <v>14939.33</v>
      </c>
      <c r="P296" s="5">
        <f t="shared" si="113"/>
        <v>124.49441666666667</v>
      </c>
      <c r="Q296" s="5">
        <f t="shared" si="114"/>
        <v>1493.933</v>
      </c>
      <c r="R296" s="5">
        <f t="shared" si="115"/>
        <v>0</v>
      </c>
      <c r="S296" s="5">
        <f t="shared" si="116"/>
        <v>14939.33</v>
      </c>
      <c r="T296" s="5">
        <f t="shared" si="117"/>
        <v>14939.33</v>
      </c>
      <c r="U296" s="5">
        <f t="shared" si="118"/>
        <v>0</v>
      </c>
    </row>
    <row r="297" spans="2:21">
      <c r="B297" s="17">
        <v>1</v>
      </c>
      <c r="C297" t="s">
        <v>117</v>
      </c>
      <c r="G297">
        <v>2006</v>
      </c>
      <c r="H297">
        <v>1</v>
      </c>
      <c r="I297">
        <v>0</v>
      </c>
      <c r="J297" t="s">
        <v>30</v>
      </c>
      <c r="K297" s="45" t="s">
        <v>35</v>
      </c>
      <c r="L297">
        <f t="shared" si="110"/>
        <v>2016</v>
      </c>
      <c r="M297" s="15">
        <f t="shared" si="111"/>
        <v>2016.0833333333333</v>
      </c>
      <c r="N297" s="5">
        <v>6258.2</v>
      </c>
      <c r="O297" s="5">
        <f t="shared" si="112"/>
        <v>6258.2</v>
      </c>
      <c r="P297" s="5">
        <f t="shared" si="113"/>
        <v>52.151666666666664</v>
      </c>
      <c r="Q297" s="5">
        <f t="shared" si="114"/>
        <v>625.81999999999994</v>
      </c>
      <c r="R297" s="5">
        <f t="shared" si="115"/>
        <v>0</v>
      </c>
      <c r="S297" s="5">
        <f t="shared" si="116"/>
        <v>6258.2</v>
      </c>
      <c r="T297" s="5">
        <f t="shared" si="117"/>
        <v>6258.2</v>
      </c>
      <c r="U297" s="5">
        <f t="shared" si="118"/>
        <v>0</v>
      </c>
    </row>
    <row r="298" spans="2:21">
      <c r="B298" s="17">
        <v>4</v>
      </c>
      <c r="C298" t="s">
        <v>117</v>
      </c>
      <c r="G298">
        <v>2006</v>
      </c>
      <c r="H298">
        <v>4</v>
      </c>
      <c r="I298">
        <v>0</v>
      </c>
      <c r="J298" t="s">
        <v>30</v>
      </c>
      <c r="K298" s="45" t="s">
        <v>35</v>
      </c>
      <c r="L298">
        <f t="shared" si="110"/>
        <v>2016</v>
      </c>
      <c r="M298" s="15">
        <f t="shared" si="111"/>
        <v>2016.3333333333333</v>
      </c>
      <c r="N298" s="5">
        <v>19330.29</v>
      </c>
      <c r="O298" s="5">
        <f t="shared" si="112"/>
        <v>19330.29</v>
      </c>
      <c r="P298" s="5">
        <f t="shared" si="113"/>
        <v>161.08574999999999</v>
      </c>
      <c r="Q298" s="5">
        <f t="shared" si="114"/>
        <v>1933.029</v>
      </c>
      <c r="R298" s="5">
        <f t="shared" si="115"/>
        <v>0</v>
      </c>
      <c r="S298" s="5">
        <f t="shared" si="116"/>
        <v>19330.29</v>
      </c>
      <c r="T298" s="5">
        <f t="shared" si="117"/>
        <v>19330.29</v>
      </c>
      <c r="U298" s="5">
        <f t="shared" si="118"/>
        <v>0</v>
      </c>
    </row>
    <row r="299" spans="2:21">
      <c r="B299">
        <v>8</v>
      </c>
      <c r="C299" t="s">
        <v>84</v>
      </c>
      <c r="G299">
        <v>2006</v>
      </c>
      <c r="H299">
        <v>4</v>
      </c>
      <c r="I299">
        <v>0</v>
      </c>
      <c r="J299" t="s">
        <v>30</v>
      </c>
      <c r="K299" s="45" t="s">
        <v>35</v>
      </c>
      <c r="L299">
        <f t="shared" si="110"/>
        <v>2016</v>
      </c>
      <c r="M299" s="15">
        <f t="shared" si="111"/>
        <v>2016.3333333333333</v>
      </c>
      <c r="N299" s="5">
        <v>34858.44</v>
      </c>
      <c r="O299" s="5">
        <f t="shared" si="112"/>
        <v>34858.44</v>
      </c>
      <c r="P299" s="5">
        <f t="shared" si="113"/>
        <v>290.48700000000002</v>
      </c>
      <c r="Q299" s="5">
        <f t="shared" si="114"/>
        <v>3485.8440000000001</v>
      </c>
      <c r="R299" s="5">
        <f t="shared" si="115"/>
        <v>0</v>
      </c>
      <c r="S299" s="5">
        <f t="shared" si="116"/>
        <v>34858.44</v>
      </c>
      <c r="T299" s="5">
        <f t="shared" si="117"/>
        <v>34858.44</v>
      </c>
      <c r="U299" s="5">
        <f t="shared" si="118"/>
        <v>0</v>
      </c>
    </row>
    <row r="300" spans="2:21">
      <c r="B300">
        <v>6</v>
      </c>
      <c r="C300" t="s">
        <v>84</v>
      </c>
      <c r="G300">
        <v>2006</v>
      </c>
      <c r="H300">
        <v>4</v>
      </c>
      <c r="I300">
        <v>0</v>
      </c>
      <c r="J300" t="s">
        <v>30</v>
      </c>
      <c r="K300" s="45" t="s">
        <v>35</v>
      </c>
      <c r="L300">
        <f t="shared" si="110"/>
        <v>2016</v>
      </c>
      <c r="M300" s="15">
        <f t="shared" si="111"/>
        <v>2016.3333333333333</v>
      </c>
      <c r="N300" s="5">
        <v>24898.880000000001</v>
      </c>
      <c r="O300" s="5">
        <f t="shared" si="112"/>
        <v>24898.880000000001</v>
      </c>
      <c r="P300" s="5">
        <f t="shared" si="113"/>
        <v>207.49066666666667</v>
      </c>
      <c r="Q300" s="5">
        <f t="shared" si="114"/>
        <v>2489.8879999999999</v>
      </c>
      <c r="R300" s="5">
        <f t="shared" si="115"/>
        <v>0</v>
      </c>
      <c r="S300" s="5">
        <f t="shared" si="116"/>
        <v>24898.880000000001</v>
      </c>
      <c r="T300" s="5">
        <f t="shared" si="117"/>
        <v>24898.880000000001</v>
      </c>
      <c r="U300" s="5">
        <f t="shared" si="118"/>
        <v>0</v>
      </c>
    </row>
    <row r="301" spans="2:21">
      <c r="B301" s="17">
        <v>8</v>
      </c>
      <c r="C301" t="s">
        <v>117</v>
      </c>
      <c r="G301">
        <v>2006</v>
      </c>
      <c r="H301">
        <v>4</v>
      </c>
      <c r="I301">
        <v>0</v>
      </c>
      <c r="J301" t="s">
        <v>30</v>
      </c>
      <c r="K301" s="45" t="s">
        <v>35</v>
      </c>
      <c r="L301">
        <f t="shared" si="110"/>
        <v>2016</v>
      </c>
      <c r="M301" s="15">
        <f t="shared" si="111"/>
        <v>2016.3333333333333</v>
      </c>
      <c r="N301" s="5">
        <v>45604.62</v>
      </c>
      <c r="O301" s="5">
        <f t="shared" si="112"/>
        <v>45604.62</v>
      </c>
      <c r="P301" s="5">
        <f t="shared" si="113"/>
        <v>380.03850000000006</v>
      </c>
      <c r="Q301" s="5">
        <f t="shared" si="114"/>
        <v>4560.4620000000004</v>
      </c>
      <c r="R301" s="5">
        <f t="shared" si="115"/>
        <v>0</v>
      </c>
      <c r="S301" s="5">
        <f t="shared" si="116"/>
        <v>45604.62</v>
      </c>
      <c r="T301" s="5">
        <f t="shared" si="117"/>
        <v>45604.62</v>
      </c>
      <c r="U301" s="5">
        <f t="shared" si="118"/>
        <v>0</v>
      </c>
    </row>
    <row r="302" spans="2:21">
      <c r="B302">
        <v>7</v>
      </c>
      <c r="C302" t="s">
        <v>127</v>
      </c>
      <c r="G302">
        <v>2006</v>
      </c>
      <c r="H302">
        <v>4</v>
      </c>
      <c r="I302">
        <v>0</v>
      </c>
      <c r="J302" t="s">
        <v>30</v>
      </c>
      <c r="K302" s="45" t="s">
        <v>35</v>
      </c>
      <c r="L302">
        <f t="shared" si="110"/>
        <v>2016</v>
      </c>
      <c r="M302" s="15">
        <f t="shared" si="111"/>
        <v>2016.3333333333333</v>
      </c>
      <c r="N302" s="5">
        <v>14905.6</v>
      </c>
      <c r="O302" s="5">
        <f t="shared" si="112"/>
        <v>14905.6</v>
      </c>
      <c r="P302" s="5">
        <f t="shared" si="113"/>
        <v>124.21333333333332</v>
      </c>
      <c r="Q302" s="5">
        <f t="shared" si="114"/>
        <v>1490.56</v>
      </c>
      <c r="R302" s="5">
        <f t="shared" si="115"/>
        <v>0</v>
      </c>
      <c r="S302" s="5">
        <f t="shared" si="116"/>
        <v>14905.6</v>
      </c>
      <c r="T302" s="5">
        <f t="shared" si="117"/>
        <v>14905.6</v>
      </c>
      <c r="U302" s="5">
        <f t="shared" si="118"/>
        <v>0</v>
      </c>
    </row>
    <row r="303" spans="2:21">
      <c r="B303" s="17">
        <v>7</v>
      </c>
      <c r="C303" t="s">
        <v>117</v>
      </c>
      <c r="G303">
        <v>2006</v>
      </c>
      <c r="H303">
        <v>5</v>
      </c>
      <c r="I303">
        <v>0</v>
      </c>
      <c r="J303" t="s">
        <v>30</v>
      </c>
      <c r="K303" s="45" t="s">
        <v>35</v>
      </c>
      <c r="L303">
        <f t="shared" si="110"/>
        <v>2016</v>
      </c>
      <c r="M303" s="15">
        <f t="shared" si="111"/>
        <v>2016.4166666666667</v>
      </c>
      <c r="N303" s="5">
        <v>39089.68</v>
      </c>
      <c r="O303" s="5">
        <f t="shared" si="112"/>
        <v>39089.68</v>
      </c>
      <c r="P303" s="5">
        <f t="shared" si="113"/>
        <v>325.7473333333333</v>
      </c>
      <c r="Q303" s="5">
        <f t="shared" si="114"/>
        <v>3908.9679999999998</v>
      </c>
      <c r="R303" s="5">
        <f t="shared" si="115"/>
        <v>0</v>
      </c>
      <c r="S303" s="5">
        <f t="shared" si="116"/>
        <v>39089.68</v>
      </c>
      <c r="T303" s="5">
        <f t="shared" si="117"/>
        <v>39089.68</v>
      </c>
      <c r="U303" s="5">
        <f t="shared" si="118"/>
        <v>0</v>
      </c>
    </row>
    <row r="304" spans="2:21">
      <c r="B304" s="17">
        <v>2</v>
      </c>
      <c r="C304" t="s">
        <v>117</v>
      </c>
      <c r="G304">
        <v>2006</v>
      </c>
      <c r="H304">
        <v>5</v>
      </c>
      <c r="I304">
        <v>0</v>
      </c>
      <c r="J304" t="s">
        <v>30</v>
      </c>
      <c r="K304" s="45" t="s">
        <v>35</v>
      </c>
      <c r="L304">
        <f t="shared" si="110"/>
        <v>2016</v>
      </c>
      <c r="M304" s="15">
        <f t="shared" si="111"/>
        <v>2016.4166666666667</v>
      </c>
      <c r="N304" s="5">
        <v>12074</v>
      </c>
      <c r="O304" s="5">
        <f t="shared" si="112"/>
        <v>12074</v>
      </c>
      <c r="P304" s="5">
        <f t="shared" si="113"/>
        <v>100.61666666666667</v>
      </c>
      <c r="Q304" s="5">
        <f t="shared" si="114"/>
        <v>1207.4000000000001</v>
      </c>
      <c r="R304" s="5">
        <f t="shared" si="115"/>
        <v>0</v>
      </c>
      <c r="S304" s="5">
        <f t="shared" si="116"/>
        <v>12074</v>
      </c>
      <c r="T304" s="5">
        <f t="shared" si="117"/>
        <v>12074</v>
      </c>
      <c r="U304" s="5">
        <f t="shared" si="118"/>
        <v>0</v>
      </c>
    </row>
    <row r="305" spans="2:21">
      <c r="B305">
        <v>4</v>
      </c>
      <c r="C305" t="s">
        <v>84</v>
      </c>
      <c r="G305">
        <v>2006</v>
      </c>
      <c r="H305">
        <v>5</v>
      </c>
      <c r="I305">
        <v>0</v>
      </c>
      <c r="J305" t="s">
        <v>30</v>
      </c>
      <c r="K305" s="45" t="s">
        <v>35</v>
      </c>
      <c r="L305">
        <f t="shared" si="110"/>
        <v>2016</v>
      </c>
      <c r="M305" s="15">
        <f t="shared" si="111"/>
        <v>2016.4166666666667</v>
      </c>
      <c r="N305" s="5">
        <v>16042.56</v>
      </c>
      <c r="O305" s="5">
        <f t="shared" si="112"/>
        <v>16042.56</v>
      </c>
      <c r="P305" s="5">
        <f t="shared" si="113"/>
        <v>133.68799999999999</v>
      </c>
      <c r="Q305" s="5">
        <f t="shared" si="114"/>
        <v>1604.2559999999999</v>
      </c>
      <c r="R305" s="5">
        <f t="shared" si="115"/>
        <v>0</v>
      </c>
      <c r="S305" s="5">
        <f t="shared" si="116"/>
        <v>16042.56</v>
      </c>
      <c r="T305" s="5">
        <f t="shared" si="117"/>
        <v>16042.56</v>
      </c>
      <c r="U305" s="5">
        <f t="shared" si="118"/>
        <v>0</v>
      </c>
    </row>
    <row r="306" spans="2:21">
      <c r="B306">
        <v>1</v>
      </c>
      <c r="C306" t="s">
        <v>84</v>
      </c>
      <c r="G306">
        <v>2006</v>
      </c>
      <c r="H306">
        <v>5</v>
      </c>
      <c r="I306">
        <v>0</v>
      </c>
      <c r="J306" t="s">
        <v>30</v>
      </c>
      <c r="K306" s="45" t="s">
        <v>35</v>
      </c>
      <c r="L306">
        <f t="shared" si="110"/>
        <v>2016</v>
      </c>
      <c r="M306" s="15">
        <f t="shared" si="111"/>
        <v>2016.4166666666667</v>
      </c>
      <c r="N306" s="5">
        <v>5347.52</v>
      </c>
      <c r="O306" s="5">
        <f t="shared" si="112"/>
        <v>5347.52</v>
      </c>
      <c r="P306" s="5">
        <f t="shared" si="113"/>
        <v>44.562666666666672</v>
      </c>
      <c r="Q306" s="5">
        <f t="shared" si="114"/>
        <v>534.75200000000007</v>
      </c>
      <c r="R306" s="5">
        <f t="shared" si="115"/>
        <v>0</v>
      </c>
      <c r="S306" s="5">
        <f t="shared" si="116"/>
        <v>5347.52</v>
      </c>
      <c r="T306" s="5">
        <f t="shared" si="117"/>
        <v>5347.52</v>
      </c>
      <c r="U306" s="5">
        <f t="shared" si="118"/>
        <v>0</v>
      </c>
    </row>
    <row r="307" spans="2:21">
      <c r="B307">
        <v>1</v>
      </c>
      <c r="C307" t="s">
        <v>100</v>
      </c>
      <c r="G307">
        <v>2006</v>
      </c>
      <c r="H307">
        <v>5</v>
      </c>
      <c r="I307">
        <v>0</v>
      </c>
      <c r="J307" t="s">
        <v>30</v>
      </c>
      <c r="K307" s="45" t="s">
        <v>35</v>
      </c>
      <c r="L307">
        <f t="shared" si="110"/>
        <v>2016</v>
      </c>
      <c r="M307" s="15">
        <f t="shared" si="111"/>
        <v>2016.4166666666667</v>
      </c>
      <c r="N307" s="5">
        <v>5605.41</v>
      </c>
      <c r="O307" s="5">
        <f t="shared" si="112"/>
        <v>5605.41</v>
      </c>
      <c r="P307" s="5">
        <f t="shared" si="113"/>
        <v>46.711749999999995</v>
      </c>
      <c r="Q307" s="5">
        <f t="shared" si="114"/>
        <v>560.54099999999994</v>
      </c>
      <c r="R307" s="5">
        <f t="shared" si="115"/>
        <v>0</v>
      </c>
      <c r="S307" s="5">
        <f t="shared" si="116"/>
        <v>5605.41</v>
      </c>
      <c r="T307" s="5">
        <f t="shared" si="117"/>
        <v>5605.41</v>
      </c>
      <c r="U307" s="5">
        <f t="shared" si="118"/>
        <v>0</v>
      </c>
    </row>
    <row r="308" spans="2:21">
      <c r="B308" s="17">
        <v>3</v>
      </c>
      <c r="C308" t="s">
        <v>117</v>
      </c>
      <c r="G308">
        <v>2006</v>
      </c>
      <c r="H308">
        <v>6</v>
      </c>
      <c r="I308">
        <v>0</v>
      </c>
      <c r="J308" t="s">
        <v>30</v>
      </c>
      <c r="K308" s="45" t="s">
        <v>35</v>
      </c>
      <c r="L308">
        <f t="shared" si="110"/>
        <v>2016</v>
      </c>
      <c r="M308" s="15">
        <f t="shared" si="111"/>
        <v>2016.5</v>
      </c>
      <c r="N308" s="5">
        <v>14080.9</v>
      </c>
      <c r="O308" s="5">
        <f t="shared" si="112"/>
        <v>14080.9</v>
      </c>
      <c r="P308" s="5">
        <f t="shared" si="113"/>
        <v>117.34083333333332</v>
      </c>
      <c r="Q308" s="5">
        <f t="shared" si="114"/>
        <v>1408.09</v>
      </c>
      <c r="R308" s="5">
        <f t="shared" si="115"/>
        <v>0</v>
      </c>
      <c r="S308" s="5">
        <f t="shared" si="116"/>
        <v>14080.9</v>
      </c>
      <c r="T308" s="5">
        <f t="shared" si="117"/>
        <v>14080.9</v>
      </c>
      <c r="U308" s="5">
        <f t="shared" si="118"/>
        <v>0</v>
      </c>
    </row>
    <row r="309" spans="2:21">
      <c r="B309">
        <v>7</v>
      </c>
      <c r="C309" t="s">
        <v>84</v>
      </c>
      <c r="G309">
        <v>2006</v>
      </c>
      <c r="H309">
        <v>6</v>
      </c>
      <c r="I309">
        <v>0</v>
      </c>
      <c r="J309" t="s">
        <v>30</v>
      </c>
      <c r="K309" s="45" t="s">
        <v>35</v>
      </c>
      <c r="L309">
        <f t="shared" si="110"/>
        <v>2016</v>
      </c>
      <c r="M309" s="15">
        <f t="shared" si="111"/>
        <v>2016.5</v>
      </c>
      <c r="N309" s="5">
        <v>29878.66</v>
      </c>
      <c r="O309" s="5">
        <f t="shared" si="112"/>
        <v>29878.66</v>
      </c>
      <c r="P309" s="5">
        <f t="shared" si="113"/>
        <v>248.98883333333333</v>
      </c>
      <c r="Q309" s="5">
        <f t="shared" si="114"/>
        <v>2987.866</v>
      </c>
      <c r="R309" s="5">
        <f t="shared" si="115"/>
        <v>0</v>
      </c>
      <c r="S309" s="5">
        <f t="shared" si="116"/>
        <v>29878.66</v>
      </c>
      <c r="T309" s="5">
        <f t="shared" si="117"/>
        <v>29878.66</v>
      </c>
      <c r="U309" s="5">
        <f t="shared" si="118"/>
        <v>0</v>
      </c>
    </row>
    <row r="310" spans="2:21">
      <c r="B310">
        <v>5</v>
      </c>
      <c r="C310" t="s">
        <v>84</v>
      </c>
      <c r="G310">
        <v>2006</v>
      </c>
      <c r="H310">
        <v>6</v>
      </c>
      <c r="I310">
        <v>0</v>
      </c>
      <c r="J310" t="s">
        <v>30</v>
      </c>
      <c r="K310" s="45" t="s">
        <v>35</v>
      </c>
      <c r="L310">
        <f t="shared" si="110"/>
        <v>2016</v>
      </c>
      <c r="M310" s="15">
        <f t="shared" si="111"/>
        <v>2016.5</v>
      </c>
      <c r="N310" s="5">
        <v>20728.580000000002</v>
      </c>
      <c r="O310" s="5">
        <f t="shared" si="112"/>
        <v>20728.580000000002</v>
      </c>
      <c r="P310" s="5">
        <f t="shared" si="113"/>
        <v>172.73816666666667</v>
      </c>
      <c r="Q310" s="5">
        <f t="shared" si="114"/>
        <v>2072.8580000000002</v>
      </c>
      <c r="R310" s="5">
        <f t="shared" si="115"/>
        <v>0</v>
      </c>
      <c r="S310" s="5">
        <f t="shared" si="116"/>
        <v>20728.580000000002</v>
      </c>
      <c r="T310" s="5">
        <f t="shared" si="117"/>
        <v>20728.580000000002</v>
      </c>
      <c r="U310" s="5">
        <f t="shared" si="118"/>
        <v>0</v>
      </c>
    </row>
    <row r="311" spans="2:21">
      <c r="B311">
        <v>5</v>
      </c>
      <c r="C311" t="s">
        <v>84</v>
      </c>
      <c r="G311">
        <v>2006</v>
      </c>
      <c r="H311">
        <v>6</v>
      </c>
      <c r="I311">
        <v>0</v>
      </c>
      <c r="J311" t="s">
        <v>30</v>
      </c>
      <c r="K311" s="45" t="s">
        <v>35</v>
      </c>
      <c r="L311">
        <f t="shared" si="110"/>
        <v>2016</v>
      </c>
      <c r="M311" s="15">
        <f t="shared" si="111"/>
        <v>2016.5</v>
      </c>
      <c r="N311" s="5">
        <v>23054.720000000001</v>
      </c>
      <c r="O311" s="5">
        <f t="shared" si="112"/>
        <v>23054.720000000001</v>
      </c>
      <c r="P311" s="5">
        <f t="shared" si="113"/>
        <v>192.12266666666667</v>
      </c>
      <c r="Q311" s="5">
        <f t="shared" si="114"/>
        <v>2305.4720000000002</v>
      </c>
      <c r="R311" s="5">
        <f t="shared" si="115"/>
        <v>0</v>
      </c>
      <c r="S311" s="5">
        <f t="shared" si="116"/>
        <v>23054.720000000001</v>
      </c>
      <c r="T311" s="5">
        <f t="shared" si="117"/>
        <v>23054.720000000001</v>
      </c>
      <c r="U311" s="5">
        <f t="shared" si="118"/>
        <v>0</v>
      </c>
    </row>
    <row r="312" spans="2:21">
      <c r="B312">
        <v>9</v>
      </c>
      <c r="C312" t="s">
        <v>100</v>
      </c>
      <c r="G312">
        <v>2006</v>
      </c>
      <c r="H312">
        <v>6</v>
      </c>
      <c r="I312">
        <v>0</v>
      </c>
      <c r="J312" t="s">
        <v>30</v>
      </c>
      <c r="K312" s="45" t="s">
        <v>35</v>
      </c>
      <c r="L312">
        <f t="shared" si="110"/>
        <v>2016</v>
      </c>
      <c r="M312" s="15">
        <f t="shared" si="111"/>
        <v>2016.5</v>
      </c>
      <c r="N312" s="5">
        <v>40974.080000000002</v>
      </c>
      <c r="O312" s="5">
        <f t="shared" si="112"/>
        <v>40974.080000000002</v>
      </c>
      <c r="P312" s="5">
        <f t="shared" si="113"/>
        <v>341.45066666666668</v>
      </c>
      <c r="Q312" s="5">
        <f t="shared" si="114"/>
        <v>4097.4080000000004</v>
      </c>
      <c r="R312" s="5">
        <f t="shared" si="115"/>
        <v>0</v>
      </c>
      <c r="S312" s="5">
        <f t="shared" si="116"/>
        <v>40974.080000000002</v>
      </c>
      <c r="T312" s="5">
        <f t="shared" si="117"/>
        <v>40974.080000000002</v>
      </c>
      <c r="U312" s="5">
        <f t="shared" si="118"/>
        <v>0</v>
      </c>
    </row>
    <row r="313" spans="2:21">
      <c r="B313">
        <v>7</v>
      </c>
      <c r="C313" t="s">
        <v>100</v>
      </c>
      <c r="G313">
        <v>2006</v>
      </c>
      <c r="H313">
        <v>6</v>
      </c>
      <c r="I313">
        <v>0</v>
      </c>
      <c r="J313" t="s">
        <v>30</v>
      </c>
      <c r="K313" s="45" t="s">
        <v>35</v>
      </c>
      <c r="L313">
        <f t="shared" si="110"/>
        <v>2016</v>
      </c>
      <c r="M313" s="15">
        <f t="shared" si="111"/>
        <v>2016.5</v>
      </c>
      <c r="N313" s="5">
        <v>35649.410000000003</v>
      </c>
      <c r="O313" s="5">
        <f t="shared" si="112"/>
        <v>35649.410000000003</v>
      </c>
      <c r="P313" s="5">
        <f t="shared" si="113"/>
        <v>297.07841666666667</v>
      </c>
      <c r="Q313" s="5">
        <f t="shared" si="114"/>
        <v>3564.9409999999998</v>
      </c>
      <c r="R313" s="5">
        <f t="shared" si="115"/>
        <v>0</v>
      </c>
      <c r="S313" s="5">
        <f t="shared" si="116"/>
        <v>35649.410000000003</v>
      </c>
      <c r="T313" s="5">
        <f t="shared" si="117"/>
        <v>35649.410000000003</v>
      </c>
      <c r="U313" s="5">
        <f t="shared" si="118"/>
        <v>0</v>
      </c>
    </row>
    <row r="314" spans="2:21">
      <c r="B314" s="17">
        <v>3</v>
      </c>
      <c r="C314" t="s">
        <v>117</v>
      </c>
      <c r="G314">
        <v>2006</v>
      </c>
      <c r="H314">
        <v>7</v>
      </c>
      <c r="I314">
        <v>0</v>
      </c>
      <c r="J314" t="s">
        <v>30</v>
      </c>
      <c r="K314" s="45" t="s">
        <v>35</v>
      </c>
      <c r="L314">
        <f t="shared" ref="L314:L356" si="119">G314+K314</f>
        <v>2016</v>
      </c>
      <c r="M314" s="15">
        <f t="shared" ref="M314:M367" si="120">+L314+(H314/12)</f>
        <v>2016.5833333333333</v>
      </c>
      <c r="N314" s="5">
        <v>13558.65</v>
      </c>
      <c r="O314" s="5">
        <f t="shared" ref="O314:O367" si="121">N314-N314*I314</f>
        <v>13558.65</v>
      </c>
      <c r="P314" s="5">
        <f t="shared" ref="P314:P367" si="122">O314/K314/12</f>
        <v>112.98875</v>
      </c>
      <c r="Q314" s="5">
        <f t="shared" ref="Q314:Q367" si="123">P314*12</f>
        <v>1355.865</v>
      </c>
      <c r="R314" s="5">
        <f t="shared" si="115"/>
        <v>0</v>
      </c>
      <c r="S314" s="5">
        <f t="shared" si="116"/>
        <v>13558.65</v>
      </c>
      <c r="T314" s="5">
        <f t="shared" si="117"/>
        <v>13558.65</v>
      </c>
      <c r="U314" s="5">
        <f t="shared" si="118"/>
        <v>0</v>
      </c>
    </row>
    <row r="315" spans="2:21">
      <c r="B315" s="17">
        <v>2</v>
      </c>
      <c r="C315" t="s">
        <v>117</v>
      </c>
      <c r="G315">
        <v>2006</v>
      </c>
      <c r="H315">
        <v>7</v>
      </c>
      <c r="I315">
        <v>0</v>
      </c>
      <c r="J315" t="s">
        <v>30</v>
      </c>
      <c r="K315" s="45" t="s">
        <v>35</v>
      </c>
      <c r="L315">
        <f t="shared" si="119"/>
        <v>2016</v>
      </c>
      <c r="M315" s="15">
        <f t="shared" si="120"/>
        <v>2016.5833333333333</v>
      </c>
      <c r="N315" s="5">
        <v>13232.25</v>
      </c>
      <c r="O315" s="5">
        <f t="shared" si="121"/>
        <v>13232.25</v>
      </c>
      <c r="P315" s="5">
        <f t="shared" si="122"/>
        <v>110.26875</v>
      </c>
      <c r="Q315" s="5">
        <f t="shared" si="123"/>
        <v>1323.2249999999999</v>
      </c>
      <c r="R315" s="5">
        <f t="shared" ref="R315:R375" si="124">+IF(M315&lt;=$O$5,0,IF(L315&gt;$O$4,Q315,(P315*H315)))</f>
        <v>0</v>
      </c>
      <c r="S315" s="5">
        <f t="shared" ref="S315:S375" si="125">+IF(R315=0,N315,IF($O$3-G315&lt;1,0,(($O$3-G315)*Q315)))</f>
        <v>13232.25</v>
      </c>
      <c r="T315" s="5">
        <f t="shared" ref="T315:T375" si="126">+IF(R315=0,S315,S315+R315)</f>
        <v>13232.25</v>
      </c>
      <c r="U315" s="5">
        <f t="shared" ref="U315:U375" si="127">+N315-T315</f>
        <v>0</v>
      </c>
    </row>
    <row r="316" spans="2:21">
      <c r="B316" s="17">
        <v>2</v>
      </c>
      <c r="C316" t="s">
        <v>117</v>
      </c>
      <c r="G316">
        <v>2006</v>
      </c>
      <c r="H316">
        <v>7</v>
      </c>
      <c r="I316">
        <v>0</v>
      </c>
      <c r="J316" t="s">
        <v>30</v>
      </c>
      <c r="K316" s="45" t="s">
        <v>35</v>
      </c>
      <c r="L316">
        <f t="shared" si="119"/>
        <v>2016</v>
      </c>
      <c r="M316" s="15">
        <f t="shared" si="120"/>
        <v>2016.5833333333333</v>
      </c>
      <c r="N316" s="5">
        <v>13232.25</v>
      </c>
      <c r="O316" s="5">
        <f t="shared" si="121"/>
        <v>13232.25</v>
      </c>
      <c r="P316" s="5">
        <f t="shared" si="122"/>
        <v>110.26875</v>
      </c>
      <c r="Q316" s="5">
        <f t="shared" si="123"/>
        <v>1323.2249999999999</v>
      </c>
      <c r="R316" s="5">
        <f t="shared" si="124"/>
        <v>0</v>
      </c>
      <c r="S316" s="5">
        <f t="shared" si="125"/>
        <v>13232.25</v>
      </c>
      <c r="T316" s="5">
        <f t="shared" si="126"/>
        <v>13232.25</v>
      </c>
      <c r="U316" s="5">
        <f t="shared" si="127"/>
        <v>0</v>
      </c>
    </row>
    <row r="317" spans="2:21">
      <c r="B317" s="17">
        <v>6</v>
      </c>
      <c r="C317" t="s">
        <v>117</v>
      </c>
      <c r="G317">
        <v>2006</v>
      </c>
      <c r="H317">
        <v>8</v>
      </c>
      <c r="I317">
        <v>0</v>
      </c>
      <c r="J317" t="s">
        <v>30</v>
      </c>
      <c r="K317" s="45" t="s">
        <v>35</v>
      </c>
      <c r="L317">
        <f t="shared" si="119"/>
        <v>2016</v>
      </c>
      <c r="M317" s="15">
        <f t="shared" si="120"/>
        <v>2016.6666666666667</v>
      </c>
      <c r="N317" s="5">
        <v>33080.639999999999</v>
      </c>
      <c r="O317" s="5">
        <f t="shared" si="121"/>
        <v>33080.639999999999</v>
      </c>
      <c r="P317" s="5">
        <f t="shared" si="122"/>
        <v>275.67199999999997</v>
      </c>
      <c r="Q317" s="5">
        <f t="shared" si="123"/>
        <v>3308.0639999999994</v>
      </c>
      <c r="R317" s="5">
        <f t="shared" si="124"/>
        <v>0</v>
      </c>
      <c r="S317" s="5">
        <f t="shared" si="125"/>
        <v>33080.639999999999</v>
      </c>
      <c r="T317" s="5">
        <f t="shared" si="126"/>
        <v>33080.639999999999</v>
      </c>
      <c r="U317" s="5">
        <f t="shared" si="127"/>
        <v>0</v>
      </c>
    </row>
    <row r="318" spans="2:21">
      <c r="B318" s="17">
        <v>4</v>
      </c>
      <c r="C318" t="s">
        <v>117</v>
      </c>
      <c r="G318">
        <v>2006</v>
      </c>
      <c r="H318">
        <v>8</v>
      </c>
      <c r="I318">
        <v>0</v>
      </c>
      <c r="J318" t="s">
        <v>30</v>
      </c>
      <c r="K318" s="45" t="s">
        <v>35</v>
      </c>
      <c r="L318">
        <f t="shared" si="119"/>
        <v>2016</v>
      </c>
      <c r="M318" s="15">
        <f t="shared" si="120"/>
        <v>2016.6666666666667</v>
      </c>
      <c r="N318" s="5">
        <v>19848.39</v>
      </c>
      <c r="O318" s="5">
        <f t="shared" si="121"/>
        <v>19848.39</v>
      </c>
      <c r="P318" s="5">
        <f t="shared" si="122"/>
        <v>165.40324999999999</v>
      </c>
      <c r="Q318" s="5">
        <f t="shared" si="123"/>
        <v>1984.8389999999999</v>
      </c>
      <c r="R318" s="5">
        <f t="shared" si="124"/>
        <v>0</v>
      </c>
      <c r="S318" s="5">
        <f t="shared" si="125"/>
        <v>19848.39</v>
      </c>
      <c r="T318" s="5">
        <f t="shared" si="126"/>
        <v>19848.39</v>
      </c>
      <c r="U318" s="5">
        <f t="shared" si="127"/>
        <v>0</v>
      </c>
    </row>
    <row r="319" spans="2:21">
      <c r="B319" s="17">
        <v>4</v>
      </c>
      <c r="C319" t="s">
        <v>117</v>
      </c>
      <c r="G319">
        <v>2006</v>
      </c>
      <c r="H319">
        <v>8</v>
      </c>
      <c r="I319">
        <v>0</v>
      </c>
      <c r="J319" t="s">
        <v>30</v>
      </c>
      <c r="K319" s="45" t="s">
        <v>35</v>
      </c>
      <c r="L319">
        <f t="shared" si="119"/>
        <v>2016</v>
      </c>
      <c r="M319" s="15">
        <f t="shared" si="120"/>
        <v>2016.6666666666667</v>
      </c>
      <c r="N319" s="5">
        <v>19848.39</v>
      </c>
      <c r="O319" s="5">
        <f t="shared" si="121"/>
        <v>19848.39</v>
      </c>
      <c r="P319" s="5">
        <f t="shared" si="122"/>
        <v>165.40324999999999</v>
      </c>
      <c r="Q319" s="5">
        <f t="shared" si="123"/>
        <v>1984.8389999999999</v>
      </c>
      <c r="R319" s="5">
        <f t="shared" si="124"/>
        <v>0</v>
      </c>
      <c r="S319" s="5">
        <f t="shared" si="125"/>
        <v>19848.39</v>
      </c>
      <c r="T319" s="5">
        <f t="shared" si="126"/>
        <v>19848.39</v>
      </c>
      <c r="U319" s="5">
        <f t="shared" si="127"/>
        <v>0</v>
      </c>
    </row>
    <row r="320" spans="2:21">
      <c r="B320">
        <v>7</v>
      </c>
      <c r="C320" t="s">
        <v>100</v>
      </c>
      <c r="G320">
        <v>2006</v>
      </c>
      <c r="H320">
        <v>8</v>
      </c>
      <c r="I320">
        <v>0</v>
      </c>
      <c r="J320" t="s">
        <v>30</v>
      </c>
      <c r="K320" s="45" t="s">
        <v>35</v>
      </c>
      <c r="L320">
        <f t="shared" si="119"/>
        <v>2016</v>
      </c>
      <c r="M320" s="15">
        <f t="shared" si="120"/>
        <v>2016.6666666666667</v>
      </c>
      <c r="N320" s="5">
        <v>35120.639999999999</v>
      </c>
      <c r="O320" s="5">
        <f t="shared" si="121"/>
        <v>35120.639999999999</v>
      </c>
      <c r="P320" s="5">
        <f t="shared" si="122"/>
        <v>292.67199999999997</v>
      </c>
      <c r="Q320" s="5">
        <f t="shared" si="123"/>
        <v>3512.0639999999994</v>
      </c>
      <c r="R320" s="5">
        <f t="shared" si="124"/>
        <v>0</v>
      </c>
      <c r="S320" s="5">
        <f t="shared" si="125"/>
        <v>35120.639999999999</v>
      </c>
      <c r="T320" s="5">
        <f t="shared" si="126"/>
        <v>35120.639999999999</v>
      </c>
      <c r="U320" s="5">
        <f t="shared" si="127"/>
        <v>0</v>
      </c>
    </row>
    <row r="321" spans="2:21">
      <c r="B321">
        <v>5</v>
      </c>
      <c r="C321" t="s">
        <v>100</v>
      </c>
      <c r="G321">
        <v>2006</v>
      </c>
      <c r="H321">
        <v>9</v>
      </c>
      <c r="I321">
        <v>0</v>
      </c>
      <c r="J321" t="s">
        <v>30</v>
      </c>
      <c r="K321" s="45" t="s">
        <v>35</v>
      </c>
      <c r="L321">
        <f t="shared" si="119"/>
        <v>2016</v>
      </c>
      <c r="M321" s="15">
        <f t="shared" si="120"/>
        <v>2016.75</v>
      </c>
      <c r="N321" s="5">
        <v>24255.87</v>
      </c>
      <c r="O321" s="5">
        <f t="shared" si="121"/>
        <v>24255.87</v>
      </c>
      <c r="P321" s="5">
        <f t="shared" si="122"/>
        <v>202.13225</v>
      </c>
      <c r="Q321" s="5">
        <f t="shared" si="123"/>
        <v>2425.587</v>
      </c>
      <c r="R321" s="5">
        <f t="shared" si="124"/>
        <v>0</v>
      </c>
      <c r="S321" s="5">
        <f t="shared" si="125"/>
        <v>24255.87</v>
      </c>
      <c r="T321" s="5">
        <f t="shared" si="126"/>
        <v>24255.87</v>
      </c>
      <c r="U321" s="5">
        <f t="shared" si="127"/>
        <v>0</v>
      </c>
    </row>
    <row r="322" spans="2:21">
      <c r="B322">
        <v>5</v>
      </c>
      <c r="C322" t="s">
        <v>84</v>
      </c>
      <c r="G322">
        <v>2006</v>
      </c>
      <c r="H322">
        <v>10</v>
      </c>
      <c r="I322">
        <v>0</v>
      </c>
      <c r="J322" t="s">
        <v>30</v>
      </c>
      <c r="K322" s="45" t="s">
        <v>35</v>
      </c>
      <c r="L322">
        <f t="shared" si="119"/>
        <v>2016</v>
      </c>
      <c r="M322" s="15">
        <f t="shared" si="120"/>
        <v>2016.8333333333333</v>
      </c>
      <c r="N322" s="5">
        <v>20682.88</v>
      </c>
      <c r="O322" s="5">
        <f t="shared" si="121"/>
        <v>20682.88</v>
      </c>
      <c r="P322" s="5">
        <f t="shared" si="122"/>
        <v>172.35733333333334</v>
      </c>
      <c r="Q322" s="5">
        <f t="shared" si="123"/>
        <v>2068.288</v>
      </c>
      <c r="R322" s="5">
        <f t="shared" si="124"/>
        <v>0</v>
      </c>
      <c r="S322" s="5">
        <f t="shared" si="125"/>
        <v>20682.88</v>
      </c>
      <c r="T322" s="5">
        <f t="shared" si="126"/>
        <v>20682.88</v>
      </c>
      <c r="U322" s="5">
        <f t="shared" si="127"/>
        <v>0</v>
      </c>
    </row>
    <row r="323" spans="2:21">
      <c r="B323" s="17">
        <v>2</v>
      </c>
      <c r="C323" t="s">
        <v>117</v>
      </c>
      <c r="G323">
        <v>2006</v>
      </c>
      <c r="H323">
        <v>10</v>
      </c>
      <c r="I323">
        <v>0</v>
      </c>
      <c r="J323" t="s">
        <v>30</v>
      </c>
      <c r="K323" s="45" t="s">
        <v>35</v>
      </c>
      <c r="L323">
        <f t="shared" si="119"/>
        <v>2016</v>
      </c>
      <c r="M323" s="15">
        <f t="shared" si="120"/>
        <v>2016.8333333333333</v>
      </c>
      <c r="N323" s="5">
        <v>13482.49</v>
      </c>
      <c r="O323" s="5">
        <f t="shared" si="121"/>
        <v>13482.49</v>
      </c>
      <c r="P323" s="5">
        <f t="shared" si="122"/>
        <v>112.35408333333334</v>
      </c>
      <c r="Q323" s="5">
        <f t="shared" si="123"/>
        <v>1348.249</v>
      </c>
      <c r="R323" s="5">
        <f t="shared" si="124"/>
        <v>0</v>
      </c>
      <c r="S323" s="5">
        <f t="shared" si="125"/>
        <v>13482.49</v>
      </c>
      <c r="T323" s="5">
        <f t="shared" si="126"/>
        <v>13482.49</v>
      </c>
      <c r="U323" s="5">
        <f t="shared" si="127"/>
        <v>0</v>
      </c>
    </row>
    <row r="324" spans="2:21">
      <c r="B324">
        <v>10</v>
      </c>
      <c r="C324" t="s">
        <v>84</v>
      </c>
      <c r="G324">
        <v>2006</v>
      </c>
      <c r="H324">
        <v>10</v>
      </c>
      <c r="I324">
        <v>0</v>
      </c>
      <c r="J324" t="s">
        <v>30</v>
      </c>
      <c r="K324" s="45" t="s">
        <v>35</v>
      </c>
      <c r="L324">
        <f t="shared" si="119"/>
        <v>2016</v>
      </c>
      <c r="M324" s="15">
        <f t="shared" si="120"/>
        <v>2016.8333333333333</v>
      </c>
      <c r="N324" s="5">
        <v>40343.040000000001</v>
      </c>
      <c r="O324" s="5">
        <f t="shared" si="121"/>
        <v>40343.040000000001</v>
      </c>
      <c r="P324" s="5">
        <f t="shared" si="122"/>
        <v>336.19200000000001</v>
      </c>
      <c r="Q324" s="5">
        <f t="shared" si="123"/>
        <v>4034.3040000000001</v>
      </c>
      <c r="R324" s="5">
        <f t="shared" si="124"/>
        <v>0</v>
      </c>
      <c r="S324" s="5">
        <f t="shared" si="125"/>
        <v>40343.040000000001</v>
      </c>
      <c r="T324" s="5">
        <f t="shared" si="126"/>
        <v>40343.040000000001</v>
      </c>
      <c r="U324" s="5">
        <f t="shared" si="127"/>
        <v>0</v>
      </c>
    </row>
    <row r="325" spans="2:21">
      <c r="B325" s="17">
        <v>1</v>
      </c>
      <c r="C325" t="s">
        <v>114</v>
      </c>
      <c r="G325">
        <v>2006</v>
      </c>
      <c r="H325">
        <v>10</v>
      </c>
      <c r="I325">
        <v>0</v>
      </c>
      <c r="J325" t="s">
        <v>30</v>
      </c>
      <c r="K325" s="45" t="s">
        <v>35</v>
      </c>
      <c r="L325">
        <f t="shared" si="119"/>
        <v>2016</v>
      </c>
      <c r="M325" s="15">
        <f t="shared" si="120"/>
        <v>2016.8333333333333</v>
      </c>
      <c r="N325" s="5">
        <v>4330.24</v>
      </c>
      <c r="O325" s="5">
        <f t="shared" si="121"/>
        <v>4330.24</v>
      </c>
      <c r="P325" s="5">
        <f t="shared" si="122"/>
        <v>36.085333333333331</v>
      </c>
      <c r="Q325" s="5">
        <f t="shared" si="123"/>
        <v>433.024</v>
      </c>
      <c r="R325" s="5">
        <f t="shared" si="124"/>
        <v>0</v>
      </c>
      <c r="S325" s="5">
        <f t="shared" si="125"/>
        <v>4330.24</v>
      </c>
      <c r="T325" s="5">
        <f t="shared" si="126"/>
        <v>4330.24</v>
      </c>
      <c r="U325" s="5">
        <f t="shared" si="127"/>
        <v>0</v>
      </c>
    </row>
    <row r="326" spans="2:21">
      <c r="B326" s="17">
        <v>3</v>
      </c>
      <c r="C326" t="s">
        <v>355</v>
      </c>
      <c r="G326">
        <v>2006</v>
      </c>
      <c r="H326">
        <v>12</v>
      </c>
      <c r="I326">
        <v>0</v>
      </c>
      <c r="J326" t="s">
        <v>30</v>
      </c>
      <c r="K326" s="45" t="s">
        <v>35</v>
      </c>
      <c r="L326">
        <f t="shared" si="119"/>
        <v>2016</v>
      </c>
      <c r="M326" s="15">
        <f t="shared" si="120"/>
        <v>2017</v>
      </c>
      <c r="N326" s="5">
        <v>15176</v>
      </c>
      <c r="O326" s="5">
        <f t="shared" si="121"/>
        <v>15176</v>
      </c>
      <c r="P326" s="5">
        <f t="shared" si="122"/>
        <v>126.46666666666665</v>
      </c>
      <c r="Q326" s="5">
        <f t="shared" si="123"/>
        <v>1517.6</v>
      </c>
      <c r="R326" s="5">
        <f t="shared" si="124"/>
        <v>0</v>
      </c>
      <c r="S326" s="5">
        <f t="shared" si="125"/>
        <v>15176</v>
      </c>
      <c r="T326" s="5">
        <f t="shared" si="126"/>
        <v>15176</v>
      </c>
      <c r="U326" s="5">
        <f t="shared" si="127"/>
        <v>0</v>
      </c>
    </row>
    <row r="327" spans="2:21">
      <c r="B327">
        <v>3</v>
      </c>
      <c r="C327" t="s">
        <v>72</v>
      </c>
      <c r="G327">
        <v>2007</v>
      </c>
      <c r="H327">
        <v>2</v>
      </c>
      <c r="I327">
        <v>0</v>
      </c>
      <c r="J327" t="s">
        <v>30</v>
      </c>
      <c r="K327" s="45" t="s">
        <v>35</v>
      </c>
      <c r="L327">
        <f t="shared" si="119"/>
        <v>2017</v>
      </c>
      <c r="M327" s="15">
        <f t="shared" si="120"/>
        <v>2017.1666666666667</v>
      </c>
      <c r="N327" s="5">
        <v>12207.36</v>
      </c>
      <c r="O327" s="5">
        <f t="shared" si="121"/>
        <v>12207.36</v>
      </c>
      <c r="P327" s="5">
        <f t="shared" si="122"/>
        <v>101.72800000000001</v>
      </c>
      <c r="Q327" s="5">
        <f t="shared" si="123"/>
        <v>1220.7360000000001</v>
      </c>
      <c r="R327" s="5">
        <f t="shared" si="124"/>
        <v>0</v>
      </c>
      <c r="S327" s="5">
        <f t="shared" si="125"/>
        <v>12207.36</v>
      </c>
      <c r="T327" s="5">
        <f t="shared" si="126"/>
        <v>12207.36</v>
      </c>
      <c r="U327" s="5">
        <f t="shared" si="127"/>
        <v>0</v>
      </c>
    </row>
    <row r="328" spans="2:21">
      <c r="B328">
        <v>0</v>
      </c>
      <c r="C328" t="s">
        <v>332</v>
      </c>
      <c r="G328">
        <v>2007</v>
      </c>
      <c r="H328">
        <v>6</v>
      </c>
      <c r="I328">
        <v>0</v>
      </c>
      <c r="J328" t="s">
        <v>30</v>
      </c>
      <c r="K328" s="45" t="s">
        <v>35</v>
      </c>
      <c r="L328">
        <f t="shared" si="119"/>
        <v>2017</v>
      </c>
      <c r="M328" s="15">
        <f t="shared" si="120"/>
        <v>2017.5</v>
      </c>
      <c r="N328" s="5">
        <v>1662.32</v>
      </c>
      <c r="O328" s="5">
        <f t="shared" si="121"/>
        <v>1662.32</v>
      </c>
      <c r="P328" s="5">
        <f t="shared" si="122"/>
        <v>13.852666666666666</v>
      </c>
      <c r="Q328" s="5">
        <f t="shared" si="123"/>
        <v>166.232</v>
      </c>
      <c r="R328" s="5">
        <f t="shared" si="124"/>
        <v>0</v>
      </c>
      <c r="S328" s="5">
        <f t="shared" si="125"/>
        <v>1662.32</v>
      </c>
      <c r="T328" s="5">
        <f t="shared" si="126"/>
        <v>1662.32</v>
      </c>
      <c r="U328" s="5">
        <f t="shared" si="127"/>
        <v>0</v>
      </c>
    </row>
    <row r="329" spans="2:21">
      <c r="B329">
        <v>0</v>
      </c>
      <c r="C329" t="s">
        <v>85</v>
      </c>
      <c r="G329">
        <v>2007</v>
      </c>
      <c r="H329">
        <v>6</v>
      </c>
      <c r="I329">
        <v>0</v>
      </c>
      <c r="J329" t="s">
        <v>30</v>
      </c>
      <c r="K329" s="45" t="s">
        <v>35</v>
      </c>
      <c r="L329">
        <f t="shared" si="119"/>
        <v>2017</v>
      </c>
      <c r="M329" s="15">
        <f t="shared" si="120"/>
        <v>2017.5</v>
      </c>
      <c r="N329" s="5">
        <f>18890+6652.8</f>
        <v>25542.799999999999</v>
      </c>
      <c r="O329" s="5">
        <f t="shared" si="121"/>
        <v>25542.799999999999</v>
      </c>
      <c r="P329" s="5">
        <f t="shared" si="122"/>
        <v>212.85666666666665</v>
      </c>
      <c r="Q329" s="5">
        <f t="shared" si="123"/>
        <v>2554.2799999999997</v>
      </c>
      <c r="R329" s="5">
        <f t="shared" si="124"/>
        <v>0</v>
      </c>
      <c r="S329" s="5">
        <f t="shared" si="125"/>
        <v>25542.799999999999</v>
      </c>
      <c r="T329" s="5">
        <f t="shared" si="126"/>
        <v>25542.799999999999</v>
      </c>
      <c r="U329" s="5">
        <f t="shared" si="127"/>
        <v>0</v>
      </c>
    </row>
    <row r="330" spans="2:21">
      <c r="B330">
        <v>2</v>
      </c>
      <c r="C330" t="s">
        <v>359</v>
      </c>
      <c r="G330">
        <v>2007</v>
      </c>
      <c r="H330">
        <v>9</v>
      </c>
      <c r="I330">
        <v>0</v>
      </c>
      <c r="J330" t="s">
        <v>30</v>
      </c>
      <c r="K330" s="45" t="s">
        <v>35</v>
      </c>
      <c r="L330">
        <f t="shared" si="119"/>
        <v>2017</v>
      </c>
      <c r="M330" s="15">
        <f t="shared" si="120"/>
        <v>2017.75</v>
      </c>
      <c r="N330" s="5">
        <v>8494.2000000000007</v>
      </c>
      <c r="O330" s="5">
        <f t="shared" si="121"/>
        <v>8494.2000000000007</v>
      </c>
      <c r="P330" s="5">
        <f t="shared" si="122"/>
        <v>70.785000000000011</v>
      </c>
      <c r="Q330" s="5">
        <f t="shared" si="123"/>
        <v>849.42000000000007</v>
      </c>
      <c r="R330" s="5">
        <f t="shared" si="124"/>
        <v>0</v>
      </c>
      <c r="S330" s="5">
        <f t="shared" si="125"/>
        <v>8494.2000000000007</v>
      </c>
      <c r="T330" s="5">
        <f t="shared" si="126"/>
        <v>8494.2000000000007</v>
      </c>
      <c r="U330" s="5">
        <f t="shared" si="127"/>
        <v>0</v>
      </c>
    </row>
    <row r="331" spans="2:21">
      <c r="B331">
        <v>3</v>
      </c>
      <c r="C331" t="s">
        <v>100</v>
      </c>
      <c r="G331">
        <v>2008</v>
      </c>
      <c r="H331">
        <v>1</v>
      </c>
      <c r="I331">
        <v>0</v>
      </c>
      <c r="J331" t="s">
        <v>30</v>
      </c>
      <c r="K331" s="45" t="s">
        <v>35</v>
      </c>
      <c r="L331">
        <f t="shared" si="119"/>
        <v>2018</v>
      </c>
      <c r="M331" s="15">
        <f t="shared" si="120"/>
        <v>2018.0833333333333</v>
      </c>
      <c r="N331" s="5">
        <v>14037.21</v>
      </c>
      <c r="O331" s="5">
        <f t="shared" si="121"/>
        <v>14037.21</v>
      </c>
      <c r="P331" s="5">
        <f t="shared" si="122"/>
        <v>116.97675</v>
      </c>
      <c r="Q331" s="5">
        <f t="shared" si="123"/>
        <v>1403.721</v>
      </c>
      <c r="R331" s="5">
        <f t="shared" si="124"/>
        <v>0</v>
      </c>
      <c r="S331" s="5">
        <f t="shared" si="125"/>
        <v>14037.21</v>
      </c>
      <c r="T331" s="5">
        <f t="shared" si="126"/>
        <v>14037.21</v>
      </c>
      <c r="U331" s="5">
        <f t="shared" si="127"/>
        <v>0</v>
      </c>
    </row>
    <row r="332" spans="2:21">
      <c r="B332" s="17">
        <v>10</v>
      </c>
      <c r="C332" t="s">
        <v>116</v>
      </c>
      <c r="G332">
        <v>2008</v>
      </c>
      <c r="H332">
        <v>4</v>
      </c>
      <c r="I332">
        <v>0</v>
      </c>
      <c r="J332" t="s">
        <v>30</v>
      </c>
      <c r="K332" s="45" t="s">
        <v>35</v>
      </c>
      <c r="L332">
        <f t="shared" si="119"/>
        <v>2018</v>
      </c>
      <c r="M332" s="15">
        <f t="shared" si="120"/>
        <v>2018.3333333333333</v>
      </c>
      <c r="N332" s="5">
        <v>55059.56</v>
      </c>
      <c r="O332" s="5">
        <f t="shared" si="121"/>
        <v>55059.56</v>
      </c>
      <c r="P332" s="5">
        <f t="shared" si="122"/>
        <v>458.8296666666667</v>
      </c>
      <c r="Q332" s="5">
        <f t="shared" si="123"/>
        <v>5505.9560000000001</v>
      </c>
      <c r="R332" s="5">
        <f t="shared" si="124"/>
        <v>0</v>
      </c>
      <c r="S332" s="5">
        <f t="shared" si="125"/>
        <v>55059.56</v>
      </c>
      <c r="T332" s="5">
        <f t="shared" si="126"/>
        <v>55059.56</v>
      </c>
      <c r="U332" s="5">
        <f t="shared" si="127"/>
        <v>0</v>
      </c>
    </row>
    <row r="333" spans="2:21">
      <c r="B333">
        <v>11</v>
      </c>
      <c r="C333" t="s">
        <v>127</v>
      </c>
      <c r="G333">
        <v>2008</v>
      </c>
      <c r="H333">
        <v>4</v>
      </c>
      <c r="I333">
        <v>0</v>
      </c>
      <c r="J333" t="s">
        <v>30</v>
      </c>
      <c r="K333" s="45" t="s">
        <v>35</v>
      </c>
      <c r="L333">
        <f t="shared" si="119"/>
        <v>2018</v>
      </c>
      <c r="M333" s="15">
        <f t="shared" si="120"/>
        <v>2018.3333333333333</v>
      </c>
      <c r="N333" s="5">
        <v>59285.1</v>
      </c>
      <c r="O333" s="5">
        <f t="shared" si="121"/>
        <v>59285.1</v>
      </c>
      <c r="P333" s="5">
        <f t="shared" si="122"/>
        <v>494.04250000000002</v>
      </c>
      <c r="Q333" s="5">
        <f t="shared" si="123"/>
        <v>5928.51</v>
      </c>
      <c r="R333" s="5">
        <f t="shared" si="124"/>
        <v>0</v>
      </c>
      <c r="S333" s="5">
        <f t="shared" si="125"/>
        <v>59285.1</v>
      </c>
      <c r="T333" s="5">
        <f t="shared" si="126"/>
        <v>59285.1</v>
      </c>
      <c r="U333" s="5">
        <f t="shared" si="127"/>
        <v>0</v>
      </c>
    </row>
    <row r="334" spans="2:21">
      <c r="B334">
        <v>9</v>
      </c>
      <c r="C334" t="s">
        <v>267</v>
      </c>
      <c r="G334">
        <v>2008</v>
      </c>
      <c r="H334">
        <v>6</v>
      </c>
      <c r="I334">
        <v>0</v>
      </c>
      <c r="J334" t="s">
        <v>30</v>
      </c>
      <c r="K334" s="45" t="s">
        <v>35</v>
      </c>
      <c r="L334">
        <f t="shared" si="119"/>
        <v>2018</v>
      </c>
      <c r="M334" s="15">
        <f t="shared" si="120"/>
        <v>2018.5</v>
      </c>
      <c r="N334" s="5">
        <v>44476.36</v>
      </c>
      <c r="O334" s="5">
        <f t="shared" si="121"/>
        <v>44476.36</v>
      </c>
      <c r="P334" s="5">
        <f t="shared" si="122"/>
        <v>370.63633333333337</v>
      </c>
      <c r="Q334" s="5">
        <f t="shared" si="123"/>
        <v>4447.6360000000004</v>
      </c>
      <c r="R334" s="5">
        <f t="shared" si="124"/>
        <v>0</v>
      </c>
      <c r="S334" s="5">
        <f t="shared" si="125"/>
        <v>44476.36</v>
      </c>
      <c r="T334" s="5">
        <f t="shared" si="126"/>
        <v>44476.36</v>
      </c>
      <c r="U334" s="5">
        <f t="shared" si="127"/>
        <v>0</v>
      </c>
    </row>
    <row r="335" spans="2:21">
      <c r="B335">
        <v>1</v>
      </c>
      <c r="C335" t="s">
        <v>100</v>
      </c>
      <c r="G335">
        <v>2008</v>
      </c>
      <c r="H335">
        <v>7</v>
      </c>
      <c r="I335">
        <v>0</v>
      </c>
      <c r="J335" t="s">
        <v>30</v>
      </c>
      <c r="K335" s="45" t="s">
        <v>35</v>
      </c>
      <c r="L335">
        <f t="shared" si="119"/>
        <v>2018</v>
      </c>
      <c r="M335" s="15">
        <f t="shared" si="120"/>
        <v>2018.5833333333333</v>
      </c>
      <c r="N335" s="5">
        <v>7100.2</v>
      </c>
      <c r="O335" s="5">
        <f t="shared" si="121"/>
        <v>7100.2</v>
      </c>
      <c r="P335" s="5">
        <f t="shared" si="122"/>
        <v>59.168333333333329</v>
      </c>
      <c r="Q335" s="5">
        <f t="shared" si="123"/>
        <v>710.02</v>
      </c>
      <c r="R335" s="5">
        <f t="shared" si="124"/>
        <v>0</v>
      </c>
      <c r="S335" s="5">
        <f t="shared" si="125"/>
        <v>7100.2</v>
      </c>
      <c r="T335" s="5">
        <f t="shared" si="126"/>
        <v>7100.2</v>
      </c>
      <c r="U335" s="5">
        <f t="shared" si="127"/>
        <v>0</v>
      </c>
    </row>
    <row r="336" spans="2:21">
      <c r="B336" s="17">
        <v>6</v>
      </c>
      <c r="C336" t="s">
        <v>117</v>
      </c>
      <c r="G336">
        <v>2008</v>
      </c>
      <c r="H336">
        <v>7</v>
      </c>
      <c r="I336">
        <v>0</v>
      </c>
      <c r="J336" t="s">
        <v>30</v>
      </c>
      <c r="K336" s="45" t="s">
        <v>35</v>
      </c>
      <c r="L336">
        <f t="shared" si="119"/>
        <v>2018</v>
      </c>
      <c r="M336" s="15">
        <f t="shared" si="120"/>
        <v>2018.5833333333333</v>
      </c>
      <c r="N336" s="5">
        <v>33300.480000000003</v>
      </c>
      <c r="O336" s="5">
        <f t="shared" si="121"/>
        <v>33300.480000000003</v>
      </c>
      <c r="P336" s="5">
        <f t="shared" si="122"/>
        <v>277.50400000000002</v>
      </c>
      <c r="Q336" s="5">
        <f t="shared" si="123"/>
        <v>3330.0480000000002</v>
      </c>
      <c r="R336" s="5">
        <f t="shared" si="124"/>
        <v>0</v>
      </c>
      <c r="S336" s="5">
        <f t="shared" si="125"/>
        <v>33300.480000000003</v>
      </c>
      <c r="T336" s="5">
        <f t="shared" si="126"/>
        <v>33300.480000000003</v>
      </c>
      <c r="U336" s="5">
        <f t="shared" si="127"/>
        <v>0</v>
      </c>
    </row>
    <row r="337" spans="2:21">
      <c r="B337" s="17">
        <v>5</v>
      </c>
      <c r="C337" t="s">
        <v>117</v>
      </c>
      <c r="G337">
        <v>2008</v>
      </c>
      <c r="H337">
        <v>7</v>
      </c>
      <c r="I337">
        <v>0</v>
      </c>
      <c r="J337" t="s">
        <v>30</v>
      </c>
      <c r="K337" s="45" t="s">
        <v>35</v>
      </c>
      <c r="L337">
        <f t="shared" si="119"/>
        <v>2018</v>
      </c>
      <c r="M337" s="15">
        <f t="shared" si="120"/>
        <v>2018.5833333333333</v>
      </c>
      <c r="N337" s="5">
        <v>24975.360000000001</v>
      </c>
      <c r="O337" s="5">
        <f t="shared" si="121"/>
        <v>24975.360000000001</v>
      </c>
      <c r="P337" s="5">
        <f t="shared" si="122"/>
        <v>208.12800000000001</v>
      </c>
      <c r="Q337" s="5">
        <f t="shared" si="123"/>
        <v>2497.5360000000001</v>
      </c>
      <c r="R337" s="5">
        <f t="shared" si="124"/>
        <v>0</v>
      </c>
      <c r="S337" s="5">
        <f t="shared" si="125"/>
        <v>24975.360000000001</v>
      </c>
      <c r="T337" s="5">
        <f t="shared" si="126"/>
        <v>24975.360000000001</v>
      </c>
      <c r="U337" s="5">
        <f t="shared" si="127"/>
        <v>0</v>
      </c>
    </row>
    <row r="338" spans="2:21">
      <c r="B338">
        <v>10</v>
      </c>
      <c r="C338" t="s">
        <v>100</v>
      </c>
      <c r="G338">
        <v>2008</v>
      </c>
      <c r="H338">
        <v>7</v>
      </c>
      <c r="I338">
        <v>0</v>
      </c>
      <c r="J338" t="s">
        <v>30</v>
      </c>
      <c r="K338" s="45" t="s">
        <v>35</v>
      </c>
      <c r="L338">
        <f t="shared" si="119"/>
        <v>2018</v>
      </c>
      <c r="M338" s="15">
        <f t="shared" si="120"/>
        <v>2018.5833333333333</v>
      </c>
      <c r="N338" s="5">
        <v>49701.4</v>
      </c>
      <c r="O338" s="5">
        <f t="shared" si="121"/>
        <v>49701.4</v>
      </c>
      <c r="P338" s="5">
        <f t="shared" si="122"/>
        <v>414.17833333333334</v>
      </c>
      <c r="Q338" s="5">
        <f t="shared" si="123"/>
        <v>4970.1400000000003</v>
      </c>
      <c r="R338" s="5">
        <f t="shared" si="124"/>
        <v>0</v>
      </c>
      <c r="S338" s="5">
        <f t="shared" si="125"/>
        <v>49701.4</v>
      </c>
      <c r="T338" s="5">
        <f t="shared" si="126"/>
        <v>49701.4</v>
      </c>
      <c r="U338" s="5">
        <f t="shared" si="127"/>
        <v>0</v>
      </c>
    </row>
    <row r="339" spans="2:21">
      <c r="B339">
        <v>16</v>
      </c>
      <c r="C339" t="s">
        <v>84</v>
      </c>
      <c r="G339">
        <v>2008</v>
      </c>
      <c r="H339">
        <v>8</v>
      </c>
      <c r="I339">
        <v>0</v>
      </c>
      <c r="J339" t="s">
        <v>30</v>
      </c>
      <c r="K339" s="45" t="s">
        <v>35</v>
      </c>
      <c r="L339">
        <f t="shared" si="119"/>
        <v>2018</v>
      </c>
      <c r="M339" s="15">
        <f t="shared" si="120"/>
        <v>2018.6666666666667</v>
      </c>
      <c r="N339" s="5">
        <v>68671.399999999994</v>
      </c>
      <c r="O339" s="5">
        <f t="shared" si="121"/>
        <v>68671.399999999994</v>
      </c>
      <c r="P339" s="5">
        <f t="shared" si="122"/>
        <v>572.26166666666666</v>
      </c>
      <c r="Q339" s="5">
        <f t="shared" si="123"/>
        <v>6867.1399999999994</v>
      </c>
      <c r="R339" s="5">
        <f t="shared" si="124"/>
        <v>0</v>
      </c>
      <c r="S339" s="5">
        <f t="shared" si="125"/>
        <v>68671.399999999994</v>
      </c>
      <c r="T339" s="5">
        <f t="shared" si="126"/>
        <v>68671.399999999994</v>
      </c>
      <c r="U339" s="5">
        <f t="shared" si="127"/>
        <v>0</v>
      </c>
    </row>
    <row r="340" spans="2:21">
      <c r="B340">
        <v>8</v>
      </c>
      <c r="C340" t="s">
        <v>84</v>
      </c>
      <c r="G340">
        <v>2008</v>
      </c>
      <c r="H340">
        <v>8</v>
      </c>
      <c r="I340">
        <v>0</v>
      </c>
      <c r="J340" t="s">
        <v>30</v>
      </c>
      <c r="K340" s="45" t="s">
        <v>35</v>
      </c>
      <c r="L340">
        <f t="shared" si="119"/>
        <v>2018</v>
      </c>
      <c r="M340" s="15">
        <f t="shared" si="120"/>
        <v>2018.6666666666667</v>
      </c>
      <c r="N340" s="5">
        <v>33983.4</v>
      </c>
      <c r="O340" s="5">
        <f t="shared" si="121"/>
        <v>33983.4</v>
      </c>
      <c r="P340" s="5">
        <f t="shared" si="122"/>
        <v>283.19499999999999</v>
      </c>
      <c r="Q340" s="5">
        <f t="shared" si="123"/>
        <v>3398.34</v>
      </c>
      <c r="R340" s="5">
        <f t="shared" si="124"/>
        <v>0</v>
      </c>
      <c r="S340" s="5">
        <f t="shared" si="125"/>
        <v>33983.4</v>
      </c>
      <c r="T340" s="5">
        <f t="shared" si="126"/>
        <v>33983.4</v>
      </c>
      <c r="U340" s="5">
        <f t="shared" si="127"/>
        <v>0</v>
      </c>
    </row>
    <row r="341" spans="2:21">
      <c r="B341" s="17">
        <v>12</v>
      </c>
      <c r="C341" t="s">
        <v>117</v>
      </c>
      <c r="G341">
        <v>2008</v>
      </c>
      <c r="H341">
        <v>8</v>
      </c>
      <c r="I341">
        <v>0</v>
      </c>
      <c r="J341" t="s">
        <v>30</v>
      </c>
      <c r="K341" s="45" t="s">
        <v>35</v>
      </c>
      <c r="L341">
        <f t="shared" si="119"/>
        <v>2018</v>
      </c>
      <c r="M341" s="15">
        <f t="shared" si="120"/>
        <v>2018.6666666666667</v>
      </c>
      <c r="N341" s="5">
        <v>66600.960000000006</v>
      </c>
      <c r="O341" s="5">
        <f t="shared" si="121"/>
        <v>66600.960000000006</v>
      </c>
      <c r="P341" s="5">
        <f t="shared" si="122"/>
        <v>555.00800000000004</v>
      </c>
      <c r="Q341" s="5">
        <f t="shared" si="123"/>
        <v>6660.0960000000005</v>
      </c>
      <c r="R341" s="5">
        <f t="shared" si="124"/>
        <v>0</v>
      </c>
      <c r="S341" s="5">
        <f t="shared" si="125"/>
        <v>66600.960000000006</v>
      </c>
      <c r="T341" s="5">
        <f t="shared" si="126"/>
        <v>66600.960000000006</v>
      </c>
      <c r="U341" s="5">
        <f t="shared" si="127"/>
        <v>0</v>
      </c>
    </row>
    <row r="342" spans="2:21">
      <c r="B342" s="17">
        <v>2</v>
      </c>
      <c r="C342" t="s">
        <v>117</v>
      </c>
      <c r="G342">
        <v>2008</v>
      </c>
      <c r="H342">
        <v>8</v>
      </c>
      <c r="I342">
        <v>0</v>
      </c>
      <c r="J342" t="s">
        <v>30</v>
      </c>
      <c r="K342" s="45" t="s">
        <v>35</v>
      </c>
      <c r="L342">
        <f t="shared" si="119"/>
        <v>2018</v>
      </c>
      <c r="M342" s="15">
        <f t="shared" si="120"/>
        <v>2018.6666666666667</v>
      </c>
      <c r="N342" s="5">
        <v>10531.84</v>
      </c>
      <c r="O342" s="5">
        <f t="shared" si="121"/>
        <v>10531.84</v>
      </c>
      <c r="P342" s="5">
        <f t="shared" si="122"/>
        <v>87.765333333333331</v>
      </c>
      <c r="Q342" s="5">
        <f t="shared" si="123"/>
        <v>1053.184</v>
      </c>
      <c r="R342" s="5">
        <f t="shared" si="124"/>
        <v>0</v>
      </c>
      <c r="S342" s="5">
        <f t="shared" si="125"/>
        <v>10531.84</v>
      </c>
      <c r="T342" s="5">
        <f t="shared" si="126"/>
        <v>10531.84</v>
      </c>
      <c r="U342" s="5">
        <f t="shared" si="127"/>
        <v>0</v>
      </c>
    </row>
    <row r="343" spans="2:21">
      <c r="B343">
        <v>1</v>
      </c>
      <c r="C343" t="s">
        <v>127</v>
      </c>
      <c r="E343">
        <v>182371</v>
      </c>
      <c r="G343">
        <v>2008</v>
      </c>
      <c r="H343">
        <v>11</v>
      </c>
      <c r="I343">
        <v>0</v>
      </c>
      <c r="J343" t="s">
        <v>30</v>
      </c>
      <c r="K343" s="45">
        <v>7</v>
      </c>
      <c r="L343">
        <f>G343+K343</f>
        <v>2015</v>
      </c>
      <c r="M343" s="15">
        <f t="shared" si="120"/>
        <v>2015.9166666666667</v>
      </c>
      <c r="N343" s="5">
        <v>1500</v>
      </c>
      <c r="O343" s="5">
        <f t="shared" si="121"/>
        <v>1500</v>
      </c>
      <c r="P343" s="5">
        <f t="shared" si="122"/>
        <v>17.857142857142858</v>
      </c>
      <c r="Q343" s="5">
        <f t="shared" si="123"/>
        <v>214.28571428571428</v>
      </c>
      <c r="R343" s="5">
        <f t="shared" si="124"/>
        <v>0</v>
      </c>
      <c r="S343" s="5">
        <f t="shared" si="125"/>
        <v>1500</v>
      </c>
      <c r="T343" s="5">
        <f t="shared" si="126"/>
        <v>1500</v>
      </c>
      <c r="U343" s="5">
        <f t="shared" si="127"/>
        <v>0</v>
      </c>
    </row>
    <row r="344" spans="2:21">
      <c r="B344">
        <v>46</v>
      </c>
      <c r="C344" t="s">
        <v>875</v>
      </c>
      <c r="E344">
        <v>182370</v>
      </c>
      <c r="G344">
        <v>2008</v>
      </c>
      <c r="H344">
        <v>11</v>
      </c>
      <c r="I344">
        <v>0</v>
      </c>
      <c r="J344" t="s">
        <v>30</v>
      </c>
      <c r="K344" s="45">
        <v>7</v>
      </c>
      <c r="L344">
        <f>G344+K344</f>
        <v>2015</v>
      </c>
      <c r="M344" s="15">
        <f t="shared" si="120"/>
        <v>2015.9166666666667</v>
      </c>
      <c r="N344" s="5">
        <v>80500</v>
      </c>
      <c r="O344" s="5">
        <f t="shared" si="121"/>
        <v>80500</v>
      </c>
      <c r="P344" s="5">
        <f t="shared" si="122"/>
        <v>958.33333333333337</v>
      </c>
      <c r="Q344" s="5">
        <f t="shared" si="123"/>
        <v>11500</v>
      </c>
      <c r="R344" s="5">
        <f t="shared" si="124"/>
        <v>0</v>
      </c>
      <c r="S344" s="5">
        <f t="shared" si="125"/>
        <v>80500</v>
      </c>
      <c r="T344" s="5">
        <f t="shared" si="126"/>
        <v>80500</v>
      </c>
      <c r="U344" s="5">
        <f t="shared" si="127"/>
        <v>0</v>
      </c>
    </row>
    <row r="345" spans="2:21">
      <c r="B345">
        <f>3*5+1</f>
        <v>16</v>
      </c>
      <c r="C345" t="s">
        <v>100</v>
      </c>
      <c r="E345" t="s">
        <v>645</v>
      </c>
      <c r="G345">
        <v>2012</v>
      </c>
      <c r="H345">
        <v>10</v>
      </c>
      <c r="I345">
        <v>0</v>
      </c>
      <c r="J345" t="s">
        <v>30</v>
      </c>
      <c r="K345" s="45">
        <v>10</v>
      </c>
      <c r="L345">
        <f t="shared" si="119"/>
        <v>2022</v>
      </c>
      <c r="M345" s="15">
        <f t="shared" si="120"/>
        <v>2022.8333333333333</v>
      </c>
      <c r="N345" s="5">
        <f>17805*5+5935</f>
        <v>94960</v>
      </c>
      <c r="O345" s="5">
        <f t="shared" si="121"/>
        <v>94960</v>
      </c>
      <c r="P345" s="5">
        <f t="shared" si="122"/>
        <v>791.33333333333337</v>
      </c>
      <c r="Q345" s="5">
        <f t="shared" si="123"/>
        <v>9496</v>
      </c>
      <c r="R345" s="5">
        <f t="shared" si="124"/>
        <v>9496</v>
      </c>
      <c r="S345" s="5">
        <f t="shared" si="125"/>
        <v>56976</v>
      </c>
      <c r="T345" s="5">
        <f t="shared" si="126"/>
        <v>66472</v>
      </c>
      <c r="U345" s="5">
        <f t="shared" si="127"/>
        <v>28488</v>
      </c>
    </row>
    <row r="346" spans="2:21">
      <c r="B346">
        <f>3*3+2</f>
        <v>11</v>
      </c>
      <c r="C346" t="s">
        <v>117</v>
      </c>
      <c r="E346" t="s">
        <v>646</v>
      </c>
      <c r="G346">
        <v>2012</v>
      </c>
      <c r="H346">
        <v>11</v>
      </c>
      <c r="I346">
        <v>0</v>
      </c>
      <c r="J346" t="s">
        <v>30</v>
      </c>
      <c r="K346" s="45">
        <v>10</v>
      </c>
      <c r="L346">
        <f t="shared" si="119"/>
        <v>2022</v>
      </c>
      <c r="M346" s="15">
        <f t="shared" si="120"/>
        <v>2022.9166666666667</v>
      </c>
      <c r="N346" s="5">
        <f>19372*3+12915</f>
        <v>71031</v>
      </c>
      <c r="O346" s="5">
        <f t="shared" si="121"/>
        <v>71031</v>
      </c>
      <c r="P346" s="5">
        <f t="shared" si="122"/>
        <v>591.92500000000007</v>
      </c>
      <c r="Q346" s="5">
        <f t="shared" si="123"/>
        <v>7103.1</v>
      </c>
      <c r="R346" s="5">
        <f t="shared" si="124"/>
        <v>7103.1</v>
      </c>
      <c r="S346" s="5">
        <f t="shared" si="125"/>
        <v>42618.600000000006</v>
      </c>
      <c r="T346" s="5">
        <f t="shared" si="126"/>
        <v>49721.700000000004</v>
      </c>
      <c r="U346" s="5">
        <f t="shared" si="127"/>
        <v>21309.299999999996</v>
      </c>
    </row>
    <row r="347" spans="2:21">
      <c r="B347">
        <v>3</v>
      </c>
      <c r="C347" t="s">
        <v>874</v>
      </c>
      <c r="E347">
        <v>182373</v>
      </c>
      <c r="G347">
        <v>2012</v>
      </c>
      <c r="H347">
        <v>10</v>
      </c>
      <c r="I347">
        <v>0</v>
      </c>
      <c r="J347" t="s">
        <v>30</v>
      </c>
      <c r="K347" s="45">
        <v>12</v>
      </c>
      <c r="L347">
        <f t="shared" si="119"/>
        <v>2024</v>
      </c>
      <c r="M347" s="15">
        <f t="shared" si="120"/>
        <v>2024.8333333333333</v>
      </c>
      <c r="N347" s="5">
        <v>17804.849999999999</v>
      </c>
      <c r="O347" s="5">
        <f t="shared" si="121"/>
        <v>17804.849999999999</v>
      </c>
      <c r="P347" s="5">
        <f t="shared" si="122"/>
        <v>123.64479166666666</v>
      </c>
      <c r="Q347" s="5">
        <f t="shared" si="123"/>
        <v>1483.7375</v>
      </c>
      <c r="R347" s="5">
        <f t="shared" si="124"/>
        <v>1483.7375</v>
      </c>
      <c r="S347" s="5">
        <f t="shared" si="125"/>
        <v>8902.4249999999993</v>
      </c>
      <c r="T347" s="5">
        <f t="shared" si="126"/>
        <v>10386.162499999999</v>
      </c>
      <c r="U347" s="5">
        <f t="shared" si="127"/>
        <v>7418.6875</v>
      </c>
    </row>
    <row r="348" spans="2:21">
      <c r="B348">
        <v>3</v>
      </c>
      <c r="C348" t="s">
        <v>659</v>
      </c>
      <c r="E348">
        <v>182372</v>
      </c>
      <c r="G348">
        <v>2012</v>
      </c>
      <c r="H348">
        <v>10</v>
      </c>
      <c r="I348">
        <v>0</v>
      </c>
      <c r="J348" t="s">
        <v>30</v>
      </c>
      <c r="K348" s="45">
        <v>12</v>
      </c>
      <c r="L348">
        <f t="shared" si="119"/>
        <v>2024</v>
      </c>
      <c r="M348" s="15">
        <f t="shared" si="120"/>
        <v>2024.8333333333333</v>
      </c>
      <c r="N348" s="5">
        <v>17804.849999999999</v>
      </c>
      <c r="O348" s="5">
        <f t="shared" si="121"/>
        <v>17804.849999999999</v>
      </c>
      <c r="P348" s="5">
        <f t="shared" si="122"/>
        <v>123.64479166666666</v>
      </c>
      <c r="Q348" s="5">
        <f t="shared" si="123"/>
        <v>1483.7375</v>
      </c>
      <c r="R348" s="5">
        <f t="shared" si="124"/>
        <v>1483.7375</v>
      </c>
      <c r="S348" s="5">
        <f t="shared" si="125"/>
        <v>8902.4249999999993</v>
      </c>
      <c r="T348" s="5">
        <f t="shared" si="126"/>
        <v>10386.162499999999</v>
      </c>
      <c r="U348" s="5">
        <f t="shared" si="127"/>
        <v>7418.6875</v>
      </c>
    </row>
    <row r="349" spans="2:21">
      <c r="B349">
        <v>2</v>
      </c>
      <c r="C349" t="s">
        <v>117</v>
      </c>
      <c r="E349">
        <v>182374</v>
      </c>
      <c r="G349">
        <v>2012</v>
      </c>
      <c r="H349">
        <v>11</v>
      </c>
      <c r="I349">
        <v>0</v>
      </c>
      <c r="J349" t="s">
        <v>30</v>
      </c>
      <c r="K349" s="45">
        <v>12</v>
      </c>
      <c r="L349">
        <f t="shared" si="119"/>
        <v>2024</v>
      </c>
      <c r="M349" s="15">
        <f t="shared" si="120"/>
        <v>2024.9166666666667</v>
      </c>
      <c r="N349" s="5">
        <v>12985.78</v>
      </c>
      <c r="O349" s="5">
        <f t="shared" si="121"/>
        <v>12985.78</v>
      </c>
      <c r="P349" s="5">
        <f t="shared" si="122"/>
        <v>90.179027777777776</v>
      </c>
      <c r="Q349" s="5">
        <f t="shared" si="123"/>
        <v>1082.1483333333333</v>
      </c>
      <c r="R349" s="5">
        <f t="shared" si="124"/>
        <v>1082.1483333333333</v>
      </c>
      <c r="S349" s="5">
        <f t="shared" si="125"/>
        <v>6492.8899999999994</v>
      </c>
      <c r="T349" s="5">
        <f t="shared" si="126"/>
        <v>7575.038333333333</v>
      </c>
      <c r="U349" s="5">
        <f t="shared" si="127"/>
        <v>5410.7416666666677</v>
      </c>
    </row>
    <row r="350" spans="2:21">
      <c r="B350">
        <v>3</v>
      </c>
      <c r="C350" t="s">
        <v>117</v>
      </c>
      <c r="E350">
        <v>182375</v>
      </c>
      <c r="G350">
        <v>2012</v>
      </c>
      <c r="H350">
        <v>11</v>
      </c>
      <c r="I350">
        <v>0</v>
      </c>
      <c r="J350" t="s">
        <v>30</v>
      </c>
      <c r="K350" s="45">
        <v>12</v>
      </c>
      <c r="L350">
        <f t="shared" si="119"/>
        <v>2024</v>
      </c>
      <c r="M350" s="15">
        <f t="shared" si="120"/>
        <v>2024.9166666666667</v>
      </c>
      <c r="N350" s="5">
        <v>19478.669999999998</v>
      </c>
      <c r="O350" s="5">
        <f t="shared" si="121"/>
        <v>19478.669999999998</v>
      </c>
      <c r="P350" s="5">
        <f t="shared" si="122"/>
        <v>135.26854166666666</v>
      </c>
      <c r="Q350" s="5">
        <f t="shared" si="123"/>
        <v>1623.2224999999999</v>
      </c>
      <c r="R350" s="5">
        <f t="shared" si="124"/>
        <v>1623.2224999999999</v>
      </c>
      <c r="S350" s="5">
        <f t="shared" si="125"/>
        <v>9739.3349999999991</v>
      </c>
      <c r="T350" s="5">
        <f t="shared" si="126"/>
        <v>11362.557499999999</v>
      </c>
      <c r="U350" s="5">
        <f t="shared" si="127"/>
        <v>8116.1124999999993</v>
      </c>
    </row>
    <row r="351" spans="2:21">
      <c r="B351">
        <v>3</v>
      </c>
      <c r="C351" t="s">
        <v>117</v>
      </c>
      <c r="E351">
        <v>182376</v>
      </c>
      <c r="G351">
        <v>2012</v>
      </c>
      <c r="H351">
        <v>11</v>
      </c>
      <c r="I351">
        <v>0</v>
      </c>
      <c r="J351" t="s">
        <v>30</v>
      </c>
      <c r="K351" s="45">
        <v>12</v>
      </c>
      <c r="L351">
        <f t="shared" si="119"/>
        <v>2024</v>
      </c>
      <c r="M351" s="15">
        <f t="shared" si="120"/>
        <v>2024.9166666666667</v>
      </c>
      <c r="N351" s="5">
        <v>19478.669999999998</v>
      </c>
      <c r="O351" s="5">
        <f t="shared" si="121"/>
        <v>19478.669999999998</v>
      </c>
      <c r="P351" s="5">
        <f t="shared" si="122"/>
        <v>135.26854166666666</v>
      </c>
      <c r="Q351" s="5">
        <f t="shared" si="123"/>
        <v>1623.2224999999999</v>
      </c>
      <c r="R351" s="5">
        <f t="shared" si="124"/>
        <v>1623.2224999999999</v>
      </c>
      <c r="S351" s="5">
        <f t="shared" si="125"/>
        <v>9739.3349999999991</v>
      </c>
      <c r="T351" s="5">
        <f t="shared" si="126"/>
        <v>11362.557499999999</v>
      </c>
      <c r="U351" s="5">
        <f t="shared" si="127"/>
        <v>8116.1124999999993</v>
      </c>
    </row>
    <row r="352" spans="2:21">
      <c r="B352">
        <v>1</v>
      </c>
      <c r="C352" t="s">
        <v>117</v>
      </c>
      <c r="E352">
        <v>182377</v>
      </c>
      <c r="G352">
        <v>2012</v>
      </c>
      <c r="H352">
        <v>11</v>
      </c>
      <c r="I352">
        <v>0</v>
      </c>
      <c r="J352" t="s">
        <v>30</v>
      </c>
      <c r="K352" s="45">
        <v>12</v>
      </c>
      <c r="L352">
        <f t="shared" si="119"/>
        <v>2024</v>
      </c>
      <c r="M352" s="15">
        <f t="shared" si="120"/>
        <v>2024.9166666666667</v>
      </c>
      <c r="N352" s="5">
        <v>6492.89</v>
      </c>
      <c r="O352" s="5">
        <f t="shared" si="121"/>
        <v>6492.89</v>
      </c>
      <c r="P352" s="5">
        <f t="shared" si="122"/>
        <v>45.089513888888888</v>
      </c>
      <c r="Q352" s="5">
        <f t="shared" si="123"/>
        <v>541.07416666666666</v>
      </c>
      <c r="R352" s="5">
        <f t="shared" si="124"/>
        <v>541.07416666666666</v>
      </c>
      <c r="S352" s="5">
        <f t="shared" si="125"/>
        <v>3246.4449999999997</v>
      </c>
      <c r="T352" s="5">
        <f t="shared" si="126"/>
        <v>3787.5191666666665</v>
      </c>
      <c r="U352" s="5">
        <f t="shared" si="127"/>
        <v>2705.3708333333338</v>
      </c>
    </row>
    <row r="353" spans="2:21">
      <c r="B353">
        <v>3</v>
      </c>
      <c r="C353" t="s">
        <v>117</v>
      </c>
      <c r="E353">
        <v>99010</v>
      </c>
      <c r="G353">
        <v>2012</v>
      </c>
      <c r="H353">
        <v>12</v>
      </c>
      <c r="I353">
        <v>0</v>
      </c>
      <c r="J353" t="s">
        <v>30</v>
      </c>
      <c r="K353" s="45">
        <v>10</v>
      </c>
      <c r="L353">
        <f t="shared" si="119"/>
        <v>2022</v>
      </c>
      <c r="M353" s="15">
        <f t="shared" si="120"/>
        <v>2023</v>
      </c>
      <c r="N353" s="5">
        <v>19372</v>
      </c>
      <c r="O353" s="5">
        <f t="shared" si="121"/>
        <v>19372</v>
      </c>
      <c r="P353" s="5">
        <f t="shared" si="122"/>
        <v>161.43333333333334</v>
      </c>
      <c r="Q353" s="5">
        <f t="shared" si="123"/>
        <v>1937.2</v>
      </c>
      <c r="R353" s="5">
        <f t="shared" si="124"/>
        <v>1937.2</v>
      </c>
      <c r="S353" s="5">
        <f t="shared" si="125"/>
        <v>11623.2</v>
      </c>
      <c r="T353" s="5">
        <f t="shared" si="126"/>
        <v>13560.400000000001</v>
      </c>
      <c r="U353" s="5">
        <f t="shared" si="127"/>
        <v>5811.5999999999985</v>
      </c>
    </row>
    <row r="354" spans="2:21">
      <c r="B354">
        <v>7</v>
      </c>
      <c r="C354" t="s">
        <v>117</v>
      </c>
      <c r="E354">
        <v>182378</v>
      </c>
      <c r="G354">
        <v>2015</v>
      </c>
      <c r="H354">
        <v>7</v>
      </c>
      <c r="I354">
        <v>0</v>
      </c>
      <c r="J354" t="s">
        <v>30</v>
      </c>
      <c r="K354" s="45">
        <v>12</v>
      </c>
      <c r="L354">
        <f t="shared" si="119"/>
        <v>2027</v>
      </c>
      <c r="M354" s="15">
        <f t="shared" si="120"/>
        <v>2027.5833333333333</v>
      </c>
      <c r="N354" s="5">
        <v>43330</v>
      </c>
      <c r="O354" s="5">
        <f t="shared" si="121"/>
        <v>43330</v>
      </c>
      <c r="P354" s="5">
        <f t="shared" si="122"/>
        <v>300.90277777777777</v>
      </c>
      <c r="Q354" s="5">
        <f t="shared" si="123"/>
        <v>3610.833333333333</v>
      </c>
      <c r="R354" s="5">
        <f t="shared" si="124"/>
        <v>3610.833333333333</v>
      </c>
      <c r="S354" s="5">
        <f t="shared" si="125"/>
        <v>10832.5</v>
      </c>
      <c r="T354" s="5">
        <f t="shared" si="126"/>
        <v>14443.333333333332</v>
      </c>
      <c r="U354" s="5">
        <f t="shared" si="127"/>
        <v>28886.666666666668</v>
      </c>
    </row>
    <row r="355" spans="2:21">
      <c r="B355">
        <v>10</v>
      </c>
      <c r="C355" t="s">
        <v>117</v>
      </c>
      <c r="E355">
        <v>126211</v>
      </c>
      <c r="G355">
        <v>2015</v>
      </c>
      <c r="H355">
        <v>9</v>
      </c>
      <c r="I355">
        <v>0</v>
      </c>
      <c r="J355" t="s">
        <v>30</v>
      </c>
      <c r="K355" s="45">
        <v>10</v>
      </c>
      <c r="L355">
        <f t="shared" si="119"/>
        <v>2025</v>
      </c>
      <c r="M355" s="15">
        <f t="shared" si="120"/>
        <v>2025.75</v>
      </c>
      <c r="N355" s="5">
        <v>61900</v>
      </c>
      <c r="O355" s="5">
        <f t="shared" si="121"/>
        <v>61900</v>
      </c>
      <c r="P355" s="5">
        <f t="shared" si="122"/>
        <v>515.83333333333337</v>
      </c>
      <c r="Q355" s="5">
        <f t="shared" si="123"/>
        <v>6190</v>
      </c>
      <c r="R355" s="5">
        <f t="shared" si="124"/>
        <v>6190</v>
      </c>
      <c r="S355" s="5">
        <f t="shared" si="125"/>
        <v>18570</v>
      </c>
      <c r="T355" s="5">
        <f t="shared" si="126"/>
        <v>24760</v>
      </c>
      <c r="U355" s="5">
        <f t="shared" si="127"/>
        <v>37140</v>
      </c>
    </row>
    <row r="356" spans="2:21">
      <c r="B356">
        <v>10</v>
      </c>
      <c r="C356" t="s">
        <v>100</v>
      </c>
      <c r="E356">
        <v>125537</v>
      </c>
      <c r="G356">
        <v>2015</v>
      </c>
      <c r="H356">
        <v>9</v>
      </c>
      <c r="I356">
        <v>0</v>
      </c>
      <c r="J356" t="s">
        <v>30</v>
      </c>
      <c r="K356" s="45">
        <v>10</v>
      </c>
      <c r="L356">
        <f t="shared" si="119"/>
        <v>2025</v>
      </c>
      <c r="M356" s="15">
        <f t="shared" si="120"/>
        <v>2025.75</v>
      </c>
      <c r="N356" s="5">
        <v>55700</v>
      </c>
      <c r="O356" s="5">
        <f t="shared" si="121"/>
        <v>55700</v>
      </c>
      <c r="P356" s="5">
        <f t="shared" si="122"/>
        <v>464.16666666666669</v>
      </c>
      <c r="Q356" s="5">
        <f t="shared" si="123"/>
        <v>5570</v>
      </c>
      <c r="R356" s="5">
        <f t="shared" si="124"/>
        <v>5570</v>
      </c>
      <c r="S356" s="5">
        <f t="shared" si="125"/>
        <v>16710</v>
      </c>
      <c r="T356" s="5">
        <f t="shared" si="126"/>
        <v>22280</v>
      </c>
      <c r="U356" s="5">
        <f t="shared" si="127"/>
        <v>33420</v>
      </c>
    </row>
    <row r="357" spans="2:21">
      <c r="B357">
        <v>6</v>
      </c>
      <c r="C357" t="s">
        <v>841</v>
      </c>
      <c r="E357">
        <v>171561</v>
      </c>
      <c r="G357">
        <v>2016</v>
      </c>
      <c r="H357">
        <v>12</v>
      </c>
      <c r="I357">
        <v>0</v>
      </c>
      <c r="J357" t="s">
        <v>30</v>
      </c>
      <c r="K357" s="45">
        <v>12</v>
      </c>
      <c r="L357">
        <f t="shared" ref="L357:L367" si="128">G357+K357</f>
        <v>2028</v>
      </c>
      <c r="M357" s="15">
        <f t="shared" si="120"/>
        <v>2029</v>
      </c>
      <c r="N357" s="5">
        <v>41088</v>
      </c>
      <c r="O357" s="5">
        <f t="shared" si="121"/>
        <v>41088</v>
      </c>
      <c r="P357" s="5">
        <f t="shared" si="122"/>
        <v>285.33333333333331</v>
      </c>
      <c r="Q357" s="5">
        <f t="shared" si="123"/>
        <v>3424</v>
      </c>
      <c r="R357" s="5">
        <f t="shared" si="124"/>
        <v>3424</v>
      </c>
      <c r="S357" s="5">
        <f t="shared" si="125"/>
        <v>6848</v>
      </c>
      <c r="T357" s="5">
        <f t="shared" si="126"/>
        <v>10272</v>
      </c>
      <c r="U357" s="5">
        <f t="shared" si="127"/>
        <v>30816</v>
      </c>
    </row>
    <row r="358" spans="2:21">
      <c r="B358">
        <v>9</v>
      </c>
      <c r="C358" t="s">
        <v>841</v>
      </c>
      <c r="E358">
        <v>171585</v>
      </c>
      <c r="G358">
        <v>2016</v>
      </c>
      <c r="H358">
        <v>12</v>
      </c>
      <c r="I358">
        <v>0</v>
      </c>
      <c r="J358" t="s">
        <v>30</v>
      </c>
      <c r="K358" s="45">
        <v>12</v>
      </c>
      <c r="L358">
        <f t="shared" si="128"/>
        <v>2028</v>
      </c>
      <c r="M358" s="15">
        <f t="shared" si="120"/>
        <v>2029</v>
      </c>
      <c r="N358" s="5">
        <v>61632</v>
      </c>
      <c r="O358" s="5">
        <f t="shared" si="121"/>
        <v>61632</v>
      </c>
      <c r="P358" s="5">
        <f t="shared" si="122"/>
        <v>428</v>
      </c>
      <c r="Q358" s="5">
        <f t="shared" si="123"/>
        <v>5136</v>
      </c>
      <c r="R358" s="5">
        <f t="shared" si="124"/>
        <v>5136</v>
      </c>
      <c r="S358" s="5">
        <f t="shared" si="125"/>
        <v>10272</v>
      </c>
      <c r="T358" s="5">
        <f t="shared" si="126"/>
        <v>15408</v>
      </c>
      <c r="U358" s="5">
        <f t="shared" si="127"/>
        <v>46224</v>
      </c>
    </row>
    <row r="359" spans="2:21">
      <c r="B359">
        <v>10</v>
      </c>
      <c r="C359" t="s">
        <v>100</v>
      </c>
      <c r="E359">
        <v>171584</v>
      </c>
      <c r="G359">
        <v>2016</v>
      </c>
      <c r="H359">
        <v>12</v>
      </c>
      <c r="I359">
        <v>0</v>
      </c>
      <c r="J359" t="s">
        <v>30</v>
      </c>
      <c r="K359" s="45">
        <v>12</v>
      </c>
      <c r="L359">
        <f t="shared" si="128"/>
        <v>2028</v>
      </c>
      <c r="M359" s="15">
        <f t="shared" si="120"/>
        <v>2029</v>
      </c>
      <c r="N359" s="5">
        <v>59850</v>
      </c>
      <c r="O359" s="5">
        <f t="shared" si="121"/>
        <v>59850</v>
      </c>
      <c r="P359" s="5">
        <f t="shared" si="122"/>
        <v>415.625</v>
      </c>
      <c r="Q359" s="5">
        <f t="shared" si="123"/>
        <v>4987.5</v>
      </c>
      <c r="R359" s="5">
        <f t="shared" si="124"/>
        <v>4987.5</v>
      </c>
      <c r="S359" s="5">
        <f t="shared" si="125"/>
        <v>9975</v>
      </c>
      <c r="T359" s="5">
        <f t="shared" si="126"/>
        <v>14962.5</v>
      </c>
      <c r="U359" s="5">
        <f t="shared" si="127"/>
        <v>44887.5</v>
      </c>
    </row>
    <row r="360" spans="2:21">
      <c r="B360">
        <v>6</v>
      </c>
      <c r="C360" t="s">
        <v>856</v>
      </c>
      <c r="E360">
        <v>183458</v>
      </c>
      <c r="G360">
        <v>2017</v>
      </c>
      <c r="H360">
        <v>6</v>
      </c>
      <c r="I360">
        <v>0</v>
      </c>
      <c r="J360" t="s">
        <v>30</v>
      </c>
      <c r="K360" s="45">
        <v>12</v>
      </c>
      <c r="L360">
        <f t="shared" si="128"/>
        <v>2029</v>
      </c>
      <c r="M360" s="15">
        <f t="shared" si="120"/>
        <v>2029.5</v>
      </c>
      <c r="N360" s="5">
        <v>37050</v>
      </c>
      <c r="O360" s="5">
        <f t="shared" si="121"/>
        <v>37050</v>
      </c>
      <c r="P360" s="5">
        <f t="shared" si="122"/>
        <v>257.29166666666669</v>
      </c>
      <c r="Q360" s="5">
        <f t="shared" si="123"/>
        <v>3087.5</v>
      </c>
      <c r="R360" s="5">
        <f t="shared" si="124"/>
        <v>3087.5</v>
      </c>
      <c r="S360" s="5">
        <f t="shared" si="125"/>
        <v>3087.5</v>
      </c>
      <c r="T360" s="5">
        <f t="shared" si="126"/>
        <v>6175</v>
      </c>
      <c r="U360" s="5">
        <f t="shared" si="127"/>
        <v>30875</v>
      </c>
    </row>
    <row r="361" spans="2:21">
      <c r="B361">
        <v>6</v>
      </c>
      <c r="C361" t="s">
        <v>841</v>
      </c>
      <c r="E361">
        <v>183457</v>
      </c>
      <c r="G361">
        <v>2017</v>
      </c>
      <c r="H361">
        <v>6</v>
      </c>
      <c r="I361">
        <v>0</v>
      </c>
      <c r="J361" t="s">
        <v>30</v>
      </c>
      <c r="K361" s="45">
        <v>12</v>
      </c>
      <c r="L361">
        <f t="shared" si="128"/>
        <v>2029</v>
      </c>
      <c r="M361" s="15">
        <f t="shared" si="120"/>
        <v>2029.5</v>
      </c>
      <c r="N361" s="5">
        <v>42870</v>
      </c>
      <c r="O361" s="5">
        <f t="shared" si="121"/>
        <v>42870</v>
      </c>
      <c r="P361" s="5">
        <f t="shared" si="122"/>
        <v>297.70833333333331</v>
      </c>
      <c r="Q361" s="5">
        <f t="shared" si="123"/>
        <v>3572.5</v>
      </c>
      <c r="R361" s="5">
        <f t="shared" si="124"/>
        <v>3572.5</v>
      </c>
      <c r="S361" s="5">
        <f t="shared" si="125"/>
        <v>3572.5</v>
      </c>
      <c r="T361" s="5">
        <f t="shared" si="126"/>
        <v>7145</v>
      </c>
      <c r="U361" s="5">
        <f t="shared" si="127"/>
        <v>35725</v>
      </c>
    </row>
    <row r="362" spans="2:21">
      <c r="B362">
        <v>5</v>
      </c>
      <c r="C362" t="s">
        <v>857</v>
      </c>
      <c r="E362">
        <v>183887</v>
      </c>
      <c r="G362">
        <v>2017</v>
      </c>
      <c r="H362">
        <v>6</v>
      </c>
      <c r="I362">
        <v>0</v>
      </c>
      <c r="J362" t="s">
        <v>30</v>
      </c>
      <c r="K362" s="45">
        <v>12</v>
      </c>
      <c r="L362">
        <f t="shared" si="128"/>
        <v>2029</v>
      </c>
      <c r="M362" s="15">
        <f t="shared" si="120"/>
        <v>2029.5</v>
      </c>
      <c r="N362" s="5">
        <v>28000</v>
      </c>
      <c r="O362" s="5">
        <f t="shared" si="121"/>
        <v>28000</v>
      </c>
      <c r="P362" s="5">
        <f t="shared" si="122"/>
        <v>194.44444444444446</v>
      </c>
      <c r="Q362" s="5">
        <f t="shared" si="123"/>
        <v>2333.3333333333335</v>
      </c>
      <c r="R362" s="5">
        <f t="shared" si="124"/>
        <v>2333.3333333333335</v>
      </c>
      <c r="S362" s="5">
        <f t="shared" si="125"/>
        <v>2333.3333333333335</v>
      </c>
      <c r="T362" s="5">
        <f t="shared" si="126"/>
        <v>4666.666666666667</v>
      </c>
      <c r="U362" s="5">
        <f t="shared" si="127"/>
        <v>23333.333333333332</v>
      </c>
    </row>
    <row r="363" spans="2:21">
      <c r="B363">
        <v>2</v>
      </c>
      <c r="C363" t="s">
        <v>898</v>
      </c>
      <c r="E363">
        <v>190433</v>
      </c>
      <c r="G363">
        <v>2017</v>
      </c>
      <c r="H363">
        <v>11</v>
      </c>
      <c r="I363">
        <v>0</v>
      </c>
      <c r="J363" t="s">
        <v>30</v>
      </c>
      <c r="K363" s="45">
        <v>12</v>
      </c>
      <c r="L363">
        <f t="shared" si="128"/>
        <v>2029</v>
      </c>
      <c r="M363" s="15">
        <f t="shared" si="120"/>
        <v>2029.9166666666667</v>
      </c>
      <c r="N363" s="5">
        <v>12848.34</v>
      </c>
      <c r="O363" s="5">
        <f t="shared" si="121"/>
        <v>12848.34</v>
      </c>
      <c r="P363" s="5">
        <f t="shared" si="122"/>
        <v>89.224583333333328</v>
      </c>
      <c r="Q363" s="5">
        <f t="shared" si="123"/>
        <v>1070.6949999999999</v>
      </c>
      <c r="R363" s="5">
        <f t="shared" si="124"/>
        <v>1070.6949999999999</v>
      </c>
      <c r="S363" s="5">
        <f t="shared" si="125"/>
        <v>1070.6949999999999</v>
      </c>
      <c r="T363" s="5">
        <f t="shared" si="126"/>
        <v>2141.39</v>
      </c>
      <c r="U363" s="5">
        <f t="shared" si="127"/>
        <v>10706.95</v>
      </c>
    </row>
    <row r="364" spans="2:21">
      <c r="B364">
        <v>2</v>
      </c>
      <c r="C364" t="s">
        <v>899</v>
      </c>
      <c r="E364">
        <v>190432</v>
      </c>
      <c r="G364">
        <v>2017</v>
      </c>
      <c r="H364">
        <v>11</v>
      </c>
      <c r="I364">
        <v>0</v>
      </c>
      <c r="J364" t="s">
        <v>30</v>
      </c>
      <c r="K364" s="45">
        <v>12</v>
      </c>
      <c r="L364">
        <f t="shared" si="128"/>
        <v>2029</v>
      </c>
      <c r="M364" s="15">
        <f t="shared" si="120"/>
        <v>2029.9166666666667</v>
      </c>
      <c r="N364" s="5">
        <v>13642.18</v>
      </c>
      <c r="O364" s="5">
        <f t="shared" si="121"/>
        <v>13642.18</v>
      </c>
      <c r="P364" s="5">
        <f t="shared" si="122"/>
        <v>94.737361111111113</v>
      </c>
      <c r="Q364" s="5">
        <f t="shared" si="123"/>
        <v>1136.8483333333334</v>
      </c>
      <c r="R364" s="5">
        <f t="shared" si="124"/>
        <v>1136.8483333333334</v>
      </c>
      <c r="S364" s="5">
        <f t="shared" si="125"/>
        <v>1136.8483333333334</v>
      </c>
      <c r="T364" s="5">
        <f t="shared" si="126"/>
        <v>2273.6966666666667</v>
      </c>
      <c r="U364" s="5">
        <f t="shared" si="127"/>
        <v>11368.483333333334</v>
      </c>
    </row>
    <row r="365" spans="2:21">
      <c r="B365">
        <v>5</v>
      </c>
      <c r="C365" t="s">
        <v>899</v>
      </c>
      <c r="E365">
        <v>188833</v>
      </c>
      <c r="G365">
        <v>2017</v>
      </c>
      <c r="H365">
        <v>10</v>
      </c>
      <c r="I365">
        <v>0</v>
      </c>
      <c r="J365" t="s">
        <v>30</v>
      </c>
      <c r="K365" s="45">
        <v>12</v>
      </c>
      <c r="L365">
        <f t="shared" si="128"/>
        <v>2029</v>
      </c>
      <c r="M365" s="15">
        <f t="shared" si="120"/>
        <v>2029.8333333333333</v>
      </c>
      <c r="N365" s="5">
        <v>35596.15</v>
      </c>
      <c r="O365" s="5">
        <f t="shared" si="121"/>
        <v>35596.15</v>
      </c>
      <c r="P365" s="5">
        <f t="shared" si="122"/>
        <v>247.19548611111111</v>
      </c>
      <c r="Q365" s="5">
        <f t="shared" si="123"/>
        <v>2966.3458333333333</v>
      </c>
      <c r="R365" s="5">
        <f t="shared" si="124"/>
        <v>2966.3458333333333</v>
      </c>
      <c r="S365" s="5">
        <f t="shared" si="125"/>
        <v>2966.3458333333333</v>
      </c>
      <c r="T365" s="5">
        <f t="shared" si="126"/>
        <v>5932.6916666666666</v>
      </c>
      <c r="U365" s="5">
        <f t="shared" si="127"/>
        <v>29663.458333333336</v>
      </c>
    </row>
    <row r="366" spans="2:21">
      <c r="B366">
        <v>3</v>
      </c>
      <c r="C366" t="s">
        <v>898</v>
      </c>
      <c r="E366">
        <v>188832</v>
      </c>
      <c r="G366">
        <v>2017</v>
      </c>
      <c r="H366">
        <v>10</v>
      </c>
      <c r="I366">
        <v>0</v>
      </c>
      <c r="J366" t="s">
        <v>30</v>
      </c>
      <c r="K366" s="45">
        <v>12</v>
      </c>
      <c r="L366">
        <f t="shared" si="128"/>
        <v>2029</v>
      </c>
      <c r="M366" s="15">
        <f t="shared" si="120"/>
        <v>2029.8333333333333</v>
      </c>
      <c r="N366" s="5">
        <v>20104.259999999998</v>
      </c>
      <c r="O366" s="5">
        <f t="shared" si="121"/>
        <v>20104.259999999998</v>
      </c>
      <c r="P366" s="5">
        <f t="shared" si="122"/>
        <v>139.61291666666665</v>
      </c>
      <c r="Q366" s="5">
        <f t="shared" si="123"/>
        <v>1675.3549999999998</v>
      </c>
      <c r="R366" s="5">
        <f t="shared" si="124"/>
        <v>1675.3549999999998</v>
      </c>
      <c r="S366" s="5">
        <f t="shared" si="125"/>
        <v>1675.3549999999998</v>
      </c>
      <c r="T366" s="5">
        <f t="shared" si="126"/>
        <v>3350.7099999999996</v>
      </c>
      <c r="U366" s="5">
        <f t="shared" si="127"/>
        <v>16753.55</v>
      </c>
    </row>
    <row r="367" spans="2:21">
      <c r="B367">
        <v>2</v>
      </c>
      <c r="C367" t="s">
        <v>922</v>
      </c>
      <c r="E367">
        <v>191666</v>
      </c>
      <c r="G367">
        <v>2018</v>
      </c>
      <c r="H367">
        <v>1</v>
      </c>
      <c r="I367">
        <v>0</v>
      </c>
      <c r="J367" t="s">
        <v>30</v>
      </c>
      <c r="K367" s="45">
        <v>11.1</v>
      </c>
      <c r="L367">
        <f t="shared" si="128"/>
        <v>2029.1</v>
      </c>
      <c r="M367" s="15">
        <f t="shared" si="120"/>
        <v>2029.1833333333332</v>
      </c>
      <c r="N367" s="5">
        <v>13402.84</v>
      </c>
      <c r="O367" s="5">
        <f t="shared" si="121"/>
        <v>13402.84</v>
      </c>
      <c r="P367" s="5">
        <f t="shared" si="122"/>
        <v>100.62192192192192</v>
      </c>
      <c r="Q367" s="5">
        <f t="shared" si="123"/>
        <v>1207.4630630630631</v>
      </c>
      <c r="R367" s="5">
        <f t="shared" si="124"/>
        <v>1207.4630630630631</v>
      </c>
      <c r="S367" s="5">
        <f t="shared" si="125"/>
        <v>0</v>
      </c>
      <c r="T367" s="5">
        <f t="shared" si="126"/>
        <v>1207.4630630630631</v>
      </c>
      <c r="U367" s="5">
        <f t="shared" si="127"/>
        <v>12195.376936936937</v>
      </c>
    </row>
    <row r="368" spans="2:21">
      <c r="B368">
        <v>2</v>
      </c>
      <c r="C368" t="s">
        <v>1048</v>
      </c>
      <c r="E368">
        <v>202732</v>
      </c>
      <c r="G368">
        <v>2018</v>
      </c>
      <c r="H368">
        <v>8</v>
      </c>
      <c r="I368">
        <v>0</v>
      </c>
      <c r="J368" t="s">
        <v>30</v>
      </c>
      <c r="K368" s="45">
        <v>12</v>
      </c>
      <c r="L368">
        <f t="shared" ref="L368:L394" si="129">G368+K368</f>
        <v>2030</v>
      </c>
      <c r="M368" s="15">
        <f t="shared" ref="M368:M394" si="130">+L368+(H368/12)</f>
        <v>2030.6666666666667</v>
      </c>
      <c r="N368" s="5">
        <v>12630</v>
      </c>
      <c r="O368" s="5">
        <f t="shared" ref="O368:O396" si="131">N368-N368*I368</f>
        <v>12630</v>
      </c>
      <c r="P368" s="5">
        <f t="shared" ref="P368:P396" si="132">O368/K368/12</f>
        <v>87.708333333333329</v>
      </c>
      <c r="Q368" s="5">
        <f t="shared" ref="Q368:Q396" si="133">P368*12</f>
        <v>1052.5</v>
      </c>
      <c r="R368" s="5">
        <f t="shared" si="124"/>
        <v>1052.5</v>
      </c>
      <c r="S368" s="5">
        <f t="shared" si="125"/>
        <v>0</v>
      </c>
      <c r="T368" s="5">
        <f t="shared" si="126"/>
        <v>1052.5</v>
      </c>
      <c r="U368" s="5">
        <f t="shared" si="127"/>
        <v>11577.5</v>
      </c>
    </row>
    <row r="369" spans="2:22">
      <c r="B369">
        <v>4</v>
      </c>
      <c r="C369" t="s">
        <v>1048</v>
      </c>
      <c r="E369">
        <v>202943</v>
      </c>
      <c r="G369">
        <v>2018</v>
      </c>
      <c r="H369">
        <v>8</v>
      </c>
      <c r="I369">
        <v>0</v>
      </c>
      <c r="J369" t="s">
        <v>30</v>
      </c>
      <c r="K369" s="45">
        <v>12</v>
      </c>
      <c r="L369">
        <f t="shared" si="129"/>
        <v>2030</v>
      </c>
      <c r="M369" s="15">
        <f t="shared" si="130"/>
        <v>2030.6666666666667</v>
      </c>
      <c r="N369" s="5">
        <v>26596</v>
      </c>
      <c r="O369" s="5">
        <f t="shared" si="131"/>
        <v>26596</v>
      </c>
      <c r="P369" s="5">
        <f t="shared" si="132"/>
        <v>184.69444444444446</v>
      </c>
      <c r="Q369" s="5">
        <f t="shared" si="133"/>
        <v>2216.3333333333335</v>
      </c>
      <c r="R369" s="5">
        <f t="shared" si="124"/>
        <v>2216.3333333333335</v>
      </c>
      <c r="S369" s="5">
        <f t="shared" si="125"/>
        <v>0</v>
      </c>
      <c r="T369" s="5">
        <f t="shared" si="126"/>
        <v>2216.3333333333335</v>
      </c>
      <c r="U369" s="5">
        <f t="shared" si="127"/>
        <v>24379.666666666668</v>
      </c>
    </row>
    <row r="370" spans="2:22">
      <c r="B370">
        <v>2</v>
      </c>
      <c r="C370" t="s">
        <v>1054</v>
      </c>
      <c r="E370">
        <v>203706</v>
      </c>
      <c r="G370">
        <v>2018</v>
      </c>
      <c r="H370">
        <v>8</v>
      </c>
      <c r="I370">
        <v>0</v>
      </c>
      <c r="J370" t="s">
        <v>30</v>
      </c>
      <c r="K370" s="45">
        <v>12</v>
      </c>
      <c r="L370">
        <f t="shared" si="129"/>
        <v>2030</v>
      </c>
      <c r="M370" s="15">
        <f t="shared" si="130"/>
        <v>2030.6666666666667</v>
      </c>
      <c r="N370" s="5">
        <v>12630</v>
      </c>
      <c r="O370" s="5">
        <f t="shared" si="131"/>
        <v>12630</v>
      </c>
      <c r="P370" s="5">
        <f t="shared" si="132"/>
        <v>87.708333333333329</v>
      </c>
      <c r="Q370" s="5">
        <f t="shared" si="133"/>
        <v>1052.5</v>
      </c>
      <c r="R370" s="5">
        <f t="shared" si="124"/>
        <v>1052.5</v>
      </c>
      <c r="S370" s="5">
        <f t="shared" si="125"/>
        <v>0</v>
      </c>
      <c r="T370" s="5">
        <f t="shared" si="126"/>
        <v>1052.5</v>
      </c>
      <c r="U370" s="5">
        <f t="shared" si="127"/>
        <v>11577.5</v>
      </c>
    </row>
    <row r="371" spans="2:22">
      <c r="B371">
        <v>2</v>
      </c>
      <c r="C371" t="s">
        <v>1050</v>
      </c>
      <c r="E371">
        <v>202808</v>
      </c>
      <c r="G371">
        <v>2018</v>
      </c>
      <c r="H371">
        <v>8</v>
      </c>
      <c r="I371">
        <v>0</v>
      </c>
      <c r="J371" t="s">
        <v>30</v>
      </c>
      <c r="K371" s="45">
        <v>12</v>
      </c>
      <c r="L371">
        <f t="shared" si="129"/>
        <v>2030</v>
      </c>
      <c r="M371" s="15">
        <f t="shared" si="130"/>
        <v>2030.6666666666667</v>
      </c>
      <c r="N371" s="5">
        <v>13966</v>
      </c>
      <c r="O371" s="5">
        <f t="shared" si="131"/>
        <v>13966</v>
      </c>
      <c r="P371" s="5">
        <f t="shared" si="132"/>
        <v>96.9861111111111</v>
      </c>
      <c r="Q371" s="5">
        <f t="shared" si="133"/>
        <v>1163.8333333333333</v>
      </c>
      <c r="R371" s="5">
        <f t="shared" si="124"/>
        <v>1163.8333333333333</v>
      </c>
      <c r="S371" s="5">
        <f t="shared" si="125"/>
        <v>0</v>
      </c>
      <c r="T371" s="5">
        <f t="shared" si="126"/>
        <v>1163.8333333333333</v>
      </c>
      <c r="U371" s="5">
        <f t="shared" si="127"/>
        <v>12802.166666666666</v>
      </c>
    </row>
    <row r="372" spans="2:22">
      <c r="B372">
        <v>4</v>
      </c>
      <c r="C372" t="s">
        <v>1055</v>
      </c>
      <c r="E372">
        <v>203787</v>
      </c>
      <c r="G372">
        <v>2018</v>
      </c>
      <c r="H372">
        <v>9</v>
      </c>
      <c r="I372">
        <v>0</v>
      </c>
      <c r="J372" t="s">
        <v>30</v>
      </c>
      <c r="K372" s="45">
        <v>12</v>
      </c>
      <c r="L372">
        <f t="shared" si="129"/>
        <v>2030</v>
      </c>
      <c r="M372" s="15">
        <f t="shared" si="130"/>
        <v>2030.75</v>
      </c>
      <c r="N372" s="5">
        <v>25260</v>
      </c>
      <c r="O372" s="5">
        <f t="shared" si="131"/>
        <v>25260</v>
      </c>
      <c r="P372" s="5">
        <f t="shared" si="132"/>
        <v>175.41666666666666</v>
      </c>
      <c r="Q372" s="5">
        <f t="shared" si="133"/>
        <v>2105</v>
      </c>
      <c r="R372" s="5">
        <f t="shared" si="124"/>
        <v>2105</v>
      </c>
      <c r="S372" s="5">
        <f t="shared" si="125"/>
        <v>0</v>
      </c>
      <c r="T372" s="5">
        <f t="shared" si="126"/>
        <v>2105</v>
      </c>
      <c r="U372" s="5">
        <f t="shared" si="127"/>
        <v>23155</v>
      </c>
    </row>
    <row r="373" spans="2:22">
      <c r="B373">
        <v>4</v>
      </c>
      <c r="C373" t="s">
        <v>1059</v>
      </c>
      <c r="E373">
        <v>204172</v>
      </c>
      <c r="G373">
        <v>2018</v>
      </c>
      <c r="H373">
        <v>9</v>
      </c>
      <c r="I373">
        <v>0</v>
      </c>
      <c r="J373" t="s">
        <v>30</v>
      </c>
      <c r="K373" s="45">
        <v>12</v>
      </c>
      <c r="L373">
        <f t="shared" si="129"/>
        <v>2030</v>
      </c>
      <c r="M373" s="15">
        <f t="shared" si="130"/>
        <v>2030.75</v>
      </c>
      <c r="N373" s="5">
        <v>27932</v>
      </c>
      <c r="O373" s="5">
        <f t="shared" si="131"/>
        <v>27932</v>
      </c>
      <c r="P373" s="5">
        <f t="shared" si="132"/>
        <v>193.9722222222222</v>
      </c>
      <c r="Q373" s="5">
        <f t="shared" si="133"/>
        <v>2327.6666666666665</v>
      </c>
      <c r="R373" s="5">
        <f t="shared" si="124"/>
        <v>2327.6666666666665</v>
      </c>
      <c r="S373" s="5">
        <f t="shared" si="125"/>
        <v>0</v>
      </c>
      <c r="T373" s="5">
        <f t="shared" si="126"/>
        <v>2327.6666666666665</v>
      </c>
      <c r="U373" s="5">
        <f t="shared" si="127"/>
        <v>25604.333333333332</v>
      </c>
    </row>
    <row r="374" spans="2:22">
      <c r="B374">
        <v>4</v>
      </c>
      <c r="C374" t="s">
        <v>1083</v>
      </c>
      <c r="E374">
        <v>204174</v>
      </c>
      <c r="G374">
        <v>2018</v>
      </c>
      <c r="H374">
        <v>9</v>
      </c>
      <c r="I374">
        <v>0</v>
      </c>
      <c r="J374" t="s">
        <v>30</v>
      </c>
      <c r="K374" s="45">
        <v>12</v>
      </c>
      <c r="L374">
        <f t="shared" si="129"/>
        <v>2030</v>
      </c>
      <c r="M374" s="15">
        <f t="shared" si="130"/>
        <v>2030.75</v>
      </c>
      <c r="N374" s="5">
        <v>25640</v>
      </c>
      <c r="O374" s="5">
        <f t="shared" si="131"/>
        <v>25640</v>
      </c>
      <c r="P374" s="5">
        <f t="shared" si="132"/>
        <v>178.05555555555554</v>
      </c>
      <c r="Q374" s="5">
        <f t="shared" si="133"/>
        <v>2136.6666666666665</v>
      </c>
      <c r="R374" s="5">
        <f t="shared" si="124"/>
        <v>2136.6666666666665</v>
      </c>
      <c r="S374" s="5">
        <f t="shared" si="125"/>
        <v>0</v>
      </c>
      <c r="T374" s="5">
        <f t="shared" si="126"/>
        <v>2136.6666666666665</v>
      </c>
      <c r="U374" s="5">
        <f t="shared" si="127"/>
        <v>23503.333333333332</v>
      </c>
      <c r="V374">
        <v>2182</v>
      </c>
    </row>
    <row r="375" spans="2:22">
      <c r="B375">
        <v>2</v>
      </c>
      <c r="C375" t="s">
        <v>1084</v>
      </c>
      <c r="E375">
        <v>204175</v>
      </c>
      <c r="G375">
        <v>2018</v>
      </c>
      <c r="H375">
        <v>9</v>
      </c>
      <c r="I375">
        <v>0</v>
      </c>
      <c r="J375" t="s">
        <v>30</v>
      </c>
      <c r="K375" s="45">
        <v>12</v>
      </c>
      <c r="L375">
        <f t="shared" si="129"/>
        <v>2030</v>
      </c>
      <c r="M375" s="15">
        <f t="shared" si="130"/>
        <v>2030.75</v>
      </c>
      <c r="N375" s="5">
        <v>14176</v>
      </c>
      <c r="O375" s="5">
        <f t="shared" si="131"/>
        <v>14176</v>
      </c>
      <c r="P375" s="5">
        <f t="shared" si="132"/>
        <v>98.444444444444443</v>
      </c>
      <c r="Q375" s="5">
        <f t="shared" si="133"/>
        <v>1181.3333333333333</v>
      </c>
      <c r="R375" s="5">
        <f t="shared" si="124"/>
        <v>1181.3333333333333</v>
      </c>
      <c r="S375" s="5">
        <f t="shared" si="125"/>
        <v>0</v>
      </c>
      <c r="T375" s="5">
        <f t="shared" si="126"/>
        <v>1181.3333333333333</v>
      </c>
      <c r="U375" s="5">
        <f t="shared" si="127"/>
        <v>12994.666666666666</v>
      </c>
      <c r="V375">
        <v>2182</v>
      </c>
    </row>
    <row r="376" spans="2:22">
      <c r="B376">
        <v>1</v>
      </c>
      <c r="C376" t="s">
        <v>1086</v>
      </c>
      <c r="E376">
        <v>204288</v>
      </c>
      <c r="G376">
        <v>2018</v>
      </c>
      <c r="H376">
        <v>10</v>
      </c>
      <c r="I376">
        <v>0</v>
      </c>
      <c r="J376" t="s">
        <v>30</v>
      </c>
      <c r="K376" s="45">
        <v>12</v>
      </c>
      <c r="L376">
        <f t="shared" si="129"/>
        <v>2030</v>
      </c>
      <c r="M376" s="15">
        <f t="shared" si="130"/>
        <v>2030.8333333333333</v>
      </c>
      <c r="N376" s="5">
        <v>6410</v>
      </c>
      <c r="O376" s="5">
        <f t="shared" si="131"/>
        <v>6410</v>
      </c>
      <c r="P376" s="5">
        <f t="shared" si="132"/>
        <v>44.513888888888886</v>
      </c>
      <c r="Q376" s="5">
        <f t="shared" si="133"/>
        <v>534.16666666666663</v>
      </c>
      <c r="R376" s="5">
        <f t="shared" ref="R376:R396" si="134">+IF(M376&lt;=$O$5,0,IF(L376&gt;$O$4,Q376,(P376*H376)))</f>
        <v>534.16666666666663</v>
      </c>
      <c r="S376" s="5">
        <f t="shared" ref="S376:S396" si="135">+IF(R376=0,N376,IF($O$3-G376&lt;1,0,(($O$3-G376)*Q376)))</f>
        <v>0</v>
      </c>
      <c r="T376" s="5">
        <f t="shared" ref="T376:T396" si="136">+IF(R376=0,S376,S376+R376)</f>
        <v>534.16666666666663</v>
      </c>
      <c r="U376" s="5">
        <f t="shared" ref="U376:U396" si="137">+N376-T376</f>
        <v>5875.833333333333</v>
      </c>
      <c r="V376">
        <v>2182</v>
      </c>
    </row>
    <row r="377" spans="2:22">
      <c r="B377">
        <v>1</v>
      </c>
      <c r="C377" t="s">
        <v>1087</v>
      </c>
      <c r="E377">
        <v>204289</v>
      </c>
      <c r="G377">
        <v>2018</v>
      </c>
      <c r="H377">
        <v>10</v>
      </c>
      <c r="I377">
        <v>0</v>
      </c>
      <c r="J377" t="s">
        <v>30</v>
      </c>
      <c r="K377" s="45">
        <v>12</v>
      </c>
      <c r="L377">
        <f t="shared" si="129"/>
        <v>2030</v>
      </c>
      <c r="M377" s="15">
        <f t="shared" si="130"/>
        <v>2030.8333333333333</v>
      </c>
      <c r="N377" s="5">
        <v>7088</v>
      </c>
      <c r="O377" s="5">
        <f t="shared" si="131"/>
        <v>7088</v>
      </c>
      <c r="P377" s="5">
        <f t="shared" si="132"/>
        <v>49.222222222222221</v>
      </c>
      <c r="Q377" s="5">
        <f t="shared" si="133"/>
        <v>590.66666666666663</v>
      </c>
      <c r="R377" s="5">
        <f t="shared" si="134"/>
        <v>590.66666666666663</v>
      </c>
      <c r="S377" s="5">
        <f t="shared" si="135"/>
        <v>0</v>
      </c>
      <c r="T377" s="5">
        <f t="shared" si="136"/>
        <v>590.66666666666663</v>
      </c>
      <c r="U377" s="5">
        <f t="shared" si="137"/>
        <v>6497.333333333333</v>
      </c>
      <c r="V377">
        <v>2182</v>
      </c>
    </row>
    <row r="378" spans="2:22">
      <c r="B378">
        <v>2</v>
      </c>
      <c r="C378" t="s">
        <v>1050</v>
      </c>
      <c r="E378">
        <v>204576</v>
      </c>
      <c r="G378">
        <v>2018</v>
      </c>
      <c r="H378">
        <v>10</v>
      </c>
      <c r="I378">
        <v>0</v>
      </c>
      <c r="J378" t="s">
        <v>30</v>
      </c>
      <c r="K378" s="45">
        <v>12</v>
      </c>
      <c r="L378">
        <f t="shared" si="129"/>
        <v>2030</v>
      </c>
      <c r="M378" s="15">
        <f t="shared" si="130"/>
        <v>2030.8333333333333</v>
      </c>
      <c r="N378" s="5">
        <v>13966</v>
      </c>
      <c r="O378" s="5">
        <f t="shared" si="131"/>
        <v>13966</v>
      </c>
      <c r="P378" s="5">
        <f t="shared" si="132"/>
        <v>96.9861111111111</v>
      </c>
      <c r="Q378" s="5">
        <f t="shared" si="133"/>
        <v>1163.8333333333333</v>
      </c>
      <c r="R378" s="5">
        <f t="shared" si="134"/>
        <v>1163.8333333333333</v>
      </c>
      <c r="S378" s="5">
        <f t="shared" si="135"/>
        <v>0</v>
      </c>
      <c r="T378" s="5">
        <f t="shared" si="136"/>
        <v>1163.8333333333333</v>
      </c>
      <c r="U378" s="5">
        <f t="shared" si="137"/>
        <v>12802.166666666666</v>
      </c>
    </row>
    <row r="379" spans="2:22">
      <c r="B379">
        <v>2</v>
      </c>
      <c r="C379" t="s">
        <v>1085</v>
      </c>
      <c r="E379">
        <v>204244</v>
      </c>
      <c r="G379">
        <v>2018</v>
      </c>
      <c r="H379">
        <v>10</v>
      </c>
      <c r="I379">
        <v>0</v>
      </c>
      <c r="J379" t="s">
        <v>30</v>
      </c>
      <c r="K379" s="45">
        <v>12</v>
      </c>
      <c r="L379">
        <f t="shared" si="129"/>
        <v>2030</v>
      </c>
      <c r="M379" s="15">
        <f t="shared" si="130"/>
        <v>2030.8333333333333</v>
      </c>
      <c r="N379" s="5">
        <v>15609</v>
      </c>
      <c r="O379" s="5">
        <f t="shared" si="131"/>
        <v>15609</v>
      </c>
      <c r="P379" s="5">
        <f t="shared" si="132"/>
        <v>108.39583333333333</v>
      </c>
      <c r="Q379" s="5">
        <f t="shared" si="133"/>
        <v>1300.75</v>
      </c>
      <c r="R379" s="5">
        <f t="shared" si="134"/>
        <v>1300.75</v>
      </c>
      <c r="S379" s="5">
        <f t="shared" si="135"/>
        <v>0</v>
      </c>
      <c r="T379" s="5">
        <f t="shared" si="136"/>
        <v>1300.75</v>
      </c>
      <c r="U379" s="5">
        <f t="shared" si="137"/>
        <v>14308.25</v>
      </c>
      <c r="V379">
        <v>2182</v>
      </c>
    </row>
    <row r="380" spans="2:22">
      <c r="B380">
        <v>2</v>
      </c>
      <c r="C380" t="s">
        <v>1084</v>
      </c>
      <c r="E380">
        <v>204579</v>
      </c>
      <c r="G380">
        <v>2018</v>
      </c>
      <c r="H380">
        <v>10</v>
      </c>
      <c r="I380">
        <v>0</v>
      </c>
      <c r="J380" t="s">
        <v>30</v>
      </c>
      <c r="K380" s="45">
        <v>12</v>
      </c>
      <c r="L380">
        <f t="shared" si="129"/>
        <v>2030</v>
      </c>
      <c r="M380" s="15">
        <f t="shared" si="130"/>
        <v>2030.8333333333333</v>
      </c>
      <c r="N380" s="5">
        <v>14176</v>
      </c>
      <c r="O380" s="5">
        <f t="shared" si="131"/>
        <v>14176</v>
      </c>
      <c r="P380" s="5">
        <f t="shared" si="132"/>
        <v>98.444444444444443</v>
      </c>
      <c r="Q380" s="5">
        <f t="shared" si="133"/>
        <v>1181.3333333333333</v>
      </c>
      <c r="R380" s="5">
        <f t="shared" si="134"/>
        <v>1181.3333333333333</v>
      </c>
      <c r="S380" s="5">
        <f t="shared" si="135"/>
        <v>0</v>
      </c>
      <c r="T380" s="5">
        <f t="shared" si="136"/>
        <v>1181.3333333333333</v>
      </c>
      <c r="U380" s="5">
        <f t="shared" si="137"/>
        <v>12994.666666666666</v>
      </c>
      <c r="V380">
        <v>2182</v>
      </c>
    </row>
    <row r="381" spans="2:22">
      <c r="B381">
        <v>4</v>
      </c>
      <c r="C381" t="s">
        <v>1064</v>
      </c>
      <c r="E381">
        <v>204577</v>
      </c>
      <c r="G381">
        <v>2018</v>
      </c>
      <c r="H381">
        <v>10</v>
      </c>
      <c r="I381">
        <v>0</v>
      </c>
      <c r="J381" t="s">
        <v>30</v>
      </c>
      <c r="K381" s="45">
        <v>12</v>
      </c>
      <c r="L381">
        <f t="shared" si="129"/>
        <v>2030</v>
      </c>
      <c r="M381" s="15">
        <f t="shared" si="130"/>
        <v>2030.8333333333333</v>
      </c>
      <c r="N381" s="5">
        <v>30408</v>
      </c>
      <c r="O381" s="5">
        <f t="shared" si="131"/>
        <v>30408</v>
      </c>
      <c r="P381" s="5">
        <f t="shared" si="132"/>
        <v>211.16666666666666</v>
      </c>
      <c r="Q381" s="5">
        <f t="shared" si="133"/>
        <v>2534</v>
      </c>
      <c r="R381" s="5">
        <f t="shared" si="134"/>
        <v>2534</v>
      </c>
      <c r="S381" s="5">
        <f t="shared" si="135"/>
        <v>0</v>
      </c>
      <c r="T381" s="5">
        <f t="shared" si="136"/>
        <v>2534</v>
      </c>
      <c r="U381" s="5">
        <f t="shared" si="137"/>
        <v>27874</v>
      </c>
    </row>
    <row r="382" spans="2:22">
      <c r="B382">
        <v>2</v>
      </c>
      <c r="C382" t="s">
        <v>1048</v>
      </c>
      <c r="E382">
        <v>204578</v>
      </c>
      <c r="G382">
        <v>2018</v>
      </c>
      <c r="H382">
        <v>10</v>
      </c>
      <c r="I382">
        <v>0</v>
      </c>
      <c r="J382" t="s">
        <v>30</v>
      </c>
      <c r="K382" s="45">
        <v>12</v>
      </c>
      <c r="L382">
        <f t="shared" si="129"/>
        <v>2030</v>
      </c>
      <c r="M382" s="15">
        <f t="shared" si="130"/>
        <v>2030.8333333333333</v>
      </c>
      <c r="N382" s="5">
        <v>13169</v>
      </c>
      <c r="O382" s="5">
        <f t="shared" si="131"/>
        <v>13169</v>
      </c>
      <c r="P382" s="5">
        <f t="shared" si="132"/>
        <v>91.4513888888889</v>
      </c>
      <c r="Q382" s="5">
        <f t="shared" si="133"/>
        <v>1097.4166666666667</v>
      </c>
      <c r="R382" s="5">
        <f t="shared" si="134"/>
        <v>1097.4166666666667</v>
      </c>
      <c r="S382" s="5">
        <f t="shared" si="135"/>
        <v>0</v>
      </c>
      <c r="T382" s="5">
        <f t="shared" si="136"/>
        <v>1097.4166666666667</v>
      </c>
      <c r="U382" s="5">
        <f t="shared" si="137"/>
        <v>12071.583333333334</v>
      </c>
    </row>
    <row r="383" spans="2:22">
      <c r="B383">
        <v>6</v>
      </c>
      <c r="C383" t="s">
        <v>1067</v>
      </c>
      <c r="E383">
        <v>206411</v>
      </c>
      <c r="G383">
        <v>2018</v>
      </c>
      <c r="H383">
        <v>10</v>
      </c>
      <c r="I383">
        <v>0</v>
      </c>
      <c r="J383" t="s">
        <v>30</v>
      </c>
      <c r="K383" s="45">
        <v>12</v>
      </c>
      <c r="L383">
        <f t="shared" si="129"/>
        <v>2030</v>
      </c>
      <c r="M383" s="15">
        <f t="shared" si="130"/>
        <v>2030.8333333333333</v>
      </c>
      <c r="N383" s="5">
        <v>45612</v>
      </c>
      <c r="O383" s="5">
        <f t="shared" si="131"/>
        <v>45612</v>
      </c>
      <c r="P383" s="5">
        <f t="shared" si="132"/>
        <v>316.75</v>
      </c>
      <c r="Q383" s="5">
        <f t="shared" si="133"/>
        <v>3801</v>
      </c>
      <c r="R383" s="5">
        <f t="shared" si="134"/>
        <v>3801</v>
      </c>
      <c r="S383" s="5">
        <f t="shared" si="135"/>
        <v>0</v>
      </c>
      <c r="T383" s="5">
        <f t="shared" si="136"/>
        <v>3801</v>
      </c>
      <c r="U383" s="5">
        <f t="shared" si="137"/>
        <v>41811</v>
      </c>
    </row>
    <row r="384" spans="2:22">
      <c r="B384">
        <v>3</v>
      </c>
      <c r="C384" t="s">
        <v>1069</v>
      </c>
      <c r="E384">
        <v>206413</v>
      </c>
      <c r="G384">
        <v>2018</v>
      </c>
      <c r="H384">
        <v>10</v>
      </c>
      <c r="I384">
        <v>0</v>
      </c>
      <c r="J384" t="s">
        <v>30</v>
      </c>
      <c r="K384" s="45">
        <v>12</v>
      </c>
      <c r="L384">
        <f t="shared" si="129"/>
        <v>2030</v>
      </c>
      <c r="M384" s="15">
        <f t="shared" si="130"/>
        <v>2030.8333333333333</v>
      </c>
      <c r="N384" s="5">
        <v>18099</v>
      </c>
      <c r="O384" s="5">
        <f t="shared" si="131"/>
        <v>18099</v>
      </c>
      <c r="P384" s="5">
        <f t="shared" si="132"/>
        <v>125.6875</v>
      </c>
      <c r="Q384" s="5">
        <f t="shared" si="133"/>
        <v>1508.25</v>
      </c>
      <c r="R384" s="5">
        <f t="shared" si="134"/>
        <v>1508.25</v>
      </c>
      <c r="S384" s="5">
        <f t="shared" si="135"/>
        <v>0</v>
      </c>
      <c r="T384" s="5">
        <f t="shared" si="136"/>
        <v>1508.25</v>
      </c>
      <c r="U384" s="5">
        <f t="shared" si="137"/>
        <v>16590.75</v>
      </c>
    </row>
    <row r="385" spans="1:21">
      <c r="B385">
        <v>2</v>
      </c>
      <c r="C385" t="s">
        <v>1068</v>
      </c>
      <c r="E385">
        <v>206412</v>
      </c>
      <c r="G385">
        <v>2018</v>
      </c>
      <c r="H385">
        <v>10</v>
      </c>
      <c r="I385">
        <v>0</v>
      </c>
      <c r="J385" t="s">
        <v>30</v>
      </c>
      <c r="K385" s="45">
        <v>12</v>
      </c>
      <c r="L385">
        <f t="shared" si="129"/>
        <v>2030</v>
      </c>
      <c r="M385" s="15">
        <f t="shared" si="130"/>
        <v>2030.8333333333333</v>
      </c>
      <c r="N385" s="5">
        <v>13169</v>
      </c>
      <c r="O385" s="5">
        <f t="shared" si="131"/>
        <v>13169</v>
      </c>
      <c r="P385" s="5">
        <f t="shared" si="132"/>
        <v>91.4513888888889</v>
      </c>
      <c r="Q385" s="5">
        <f t="shared" si="133"/>
        <v>1097.4166666666667</v>
      </c>
      <c r="R385" s="5">
        <f t="shared" si="134"/>
        <v>1097.4166666666667</v>
      </c>
      <c r="S385" s="5">
        <f t="shared" si="135"/>
        <v>0</v>
      </c>
      <c r="T385" s="5">
        <f t="shared" si="136"/>
        <v>1097.4166666666667</v>
      </c>
      <c r="U385" s="5">
        <f t="shared" si="137"/>
        <v>12071.583333333334</v>
      </c>
    </row>
    <row r="386" spans="1:21">
      <c r="B386">
        <v>1</v>
      </c>
      <c r="C386" t="s">
        <v>1068</v>
      </c>
      <c r="E386">
        <v>206687</v>
      </c>
      <c r="G386">
        <v>2018</v>
      </c>
      <c r="H386">
        <v>11</v>
      </c>
      <c r="I386">
        <v>0</v>
      </c>
      <c r="J386" t="s">
        <v>30</v>
      </c>
      <c r="K386" s="45">
        <v>12</v>
      </c>
      <c r="L386">
        <f t="shared" si="129"/>
        <v>2030</v>
      </c>
      <c r="M386" s="15">
        <f t="shared" si="130"/>
        <v>2030.9166666666667</v>
      </c>
      <c r="N386" s="5">
        <v>6584.5</v>
      </c>
      <c r="O386" s="5">
        <f t="shared" si="131"/>
        <v>6584.5</v>
      </c>
      <c r="P386" s="5">
        <f t="shared" si="132"/>
        <v>45.72569444444445</v>
      </c>
      <c r="Q386" s="5">
        <f t="shared" si="133"/>
        <v>548.70833333333337</v>
      </c>
      <c r="R386" s="5">
        <f t="shared" si="134"/>
        <v>548.70833333333337</v>
      </c>
      <c r="S386" s="5">
        <f t="shared" si="135"/>
        <v>0</v>
      </c>
      <c r="T386" s="5">
        <f t="shared" si="136"/>
        <v>548.70833333333337</v>
      </c>
      <c r="U386" s="5">
        <f t="shared" si="137"/>
        <v>6035.791666666667</v>
      </c>
    </row>
    <row r="387" spans="1:21">
      <c r="B387">
        <v>1</v>
      </c>
      <c r="C387" t="s">
        <v>1077</v>
      </c>
      <c r="E387">
        <v>206688</v>
      </c>
      <c r="G387">
        <v>2018</v>
      </c>
      <c r="H387">
        <v>11</v>
      </c>
      <c r="I387">
        <v>0</v>
      </c>
      <c r="J387" t="s">
        <v>30</v>
      </c>
      <c r="K387" s="45">
        <v>12</v>
      </c>
      <c r="L387">
        <f t="shared" si="129"/>
        <v>2030</v>
      </c>
      <c r="M387" s="15">
        <f t="shared" si="130"/>
        <v>2030.9166666666667</v>
      </c>
      <c r="N387" s="5">
        <v>7262.5</v>
      </c>
      <c r="O387" s="5">
        <f t="shared" si="131"/>
        <v>7262.5</v>
      </c>
      <c r="P387" s="5">
        <f t="shared" si="132"/>
        <v>50.434027777777779</v>
      </c>
      <c r="Q387" s="5">
        <f t="shared" si="133"/>
        <v>605.20833333333337</v>
      </c>
      <c r="R387" s="5">
        <f t="shared" si="134"/>
        <v>605.20833333333337</v>
      </c>
      <c r="S387" s="5">
        <f t="shared" si="135"/>
        <v>0</v>
      </c>
      <c r="T387" s="5">
        <f t="shared" si="136"/>
        <v>605.20833333333337</v>
      </c>
      <c r="U387" s="5">
        <f t="shared" si="137"/>
        <v>6657.291666666667</v>
      </c>
    </row>
    <row r="388" spans="1:21">
      <c r="B388">
        <v>2</v>
      </c>
      <c r="C388" t="s">
        <v>1078</v>
      </c>
      <c r="E388">
        <v>206689</v>
      </c>
      <c r="G388">
        <v>2018</v>
      </c>
      <c r="H388">
        <v>11</v>
      </c>
      <c r="I388">
        <v>0</v>
      </c>
      <c r="J388" t="s">
        <v>30</v>
      </c>
      <c r="K388" s="45">
        <v>12</v>
      </c>
      <c r="L388">
        <f t="shared" si="129"/>
        <v>2030</v>
      </c>
      <c r="M388" s="15">
        <f t="shared" si="130"/>
        <v>2030.9166666666667</v>
      </c>
      <c r="N388" s="5">
        <v>15488</v>
      </c>
      <c r="O388" s="5">
        <f t="shared" si="131"/>
        <v>15488</v>
      </c>
      <c r="P388" s="5">
        <f t="shared" si="132"/>
        <v>107.55555555555556</v>
      </c>
      <c r="Q388" s="5">
        <f t="shared" si="133"/>
        <v>1290.6666666666667</v>
      </c>
      <c r="R388" s="5">
        <f t="shared" si="134"/>
        <v>1290.6666666666667</v>
      </c>
      <c r="S388" s="5">
        <f t="shared" si="135"/>
        <v>0</v>
      </c>
      <c r="T388" s="5">
        <f t="shared" si="136"/>
        <v>1290.6666666666667</v>
      </c>
      <c r="U388" s="5">
        <f t="shared" si="137"/>
        <v>14197.333333333334</v>
      </c>
    </row>
    <row r="389" spans="1:21">
      <c r="B389">
        <v>2</v>
      </c>
      <c r="C389" t="s">
        <v>1078</v>
      </c>
      <c r="E389">
        <v>206690</v>
      </c>
      <c r="G389">
        <v>2018</v>
      </c>
      <c r="H389">
        <v>11</v>
      </c>
      <c r="I389">
        <v>0</v>
      </c>
      <c r="J389" t="s">
        <v>30</v>
      </c>
      <c r="K389" s="45">
        <v>12</v>
      </c>
      <c r="L389">
        <f t="shared" si="129"/>
        <v>2030</v>
      </c>
      <c r="M389" s="15">
        <f t="shared" si="130"/>
        <v>2030.9166666666667</v>
      </c>
      <c r="N389" s="5">
        <v>13562</v>
      </c>
      <c r="O389" s="5">
        <f t="shared" si="131"/>
        <v>13562</v>
      </c>
      <c r="P389" s="5">
        <f t="shared" si="132"/>
        <v>94.180555555555557</v>
      </c>
      <c r="Q389" s="5">
        <f t="shared" si="133"/>
        <v>1130.1666666666667</v>
      </c>
      <c r="R389" s="5">
        <f t="shared" si="134"/>
        <v>1130.1666666666667</v>
      </c>
      <c r="S389" s="5">
        <f t="shared" si="135"/>
        <v>0</v>
      </c>
      <c r="T389" s="5">
        <f t="shared" si="136"/>
        <v>1130.1666666666667</v>
      </c>
      <c r="U389" s="5">
        <f t="shared" si="137"/>
        <v>12431.833333333334</v>
      </c>
    </row>
    <row r="390" spans="1:21">
      <c r="B390">
        <v>2</v>
      </c>
      <c r="C390" t="s">
        <v>1067</v>
      </c>
      <c r="E390">
        <v>206684</v>
      </c>
      <c r="G390">
        <v>2018</v>
      </c>
      <c r="H390">
        <v>11</v>
      </c>
      <c r="I390">
        <v>0</v>
      </c>
      <c r="J390" t="s">
        <v>30</v>
      </c>
      <c r="K390" s="45">
        <v>12</v>
      </c>
      <c r="L390">
        <f t="shared" si="129"/>
        <v>2030</v>
      </c>
      <c r="M390" s="15">
        <f t="shared" si="130"/>
        <v>2030.9166666666667</v>
      </c>
      <c r="N390" s="5">
        <v>15795</v>
      </c>
      <c r="O390" s="5">
        <f t="shared" si="131"/>
        <v>15795</v>
      </c>
      <c r="P390" s="5">
        <f t="shared" si="132"/>
        <v>109.6875</v>
      </c>
      <c r="Q390" s="5">
        <f t="shared" si="133"/>
        <v>1316.25</v>
      </c>
      <c r="R390" s="5">
        <f t="shared" si="134"/>
        <v>1316.25</v>
      </c>
      <c r="S390" s="5">
        <f t="shared" si="135"/>
        <v>0</v>
      </c>
      <c r="T390" s="5">
        <f t="shared" si="136"/>
        <v>1316.25</v>
      </c>
      <c r="U390" s="5">
        <f t="shared" si="137"/>
        <v>14478.75</v>
      </c>
    </row>
    <row r="391" spans="1:21">
      <c r="B391">
        <v>2</v>
      </c>
      <c r="C391" t="s">
        <v>1120</v>
      </c>
      <c r="E391">
        <v>208946</v>
      </c>
      <c r="G391">
        <v>2019</v>
      </c>
      <c r="H391">
        <v>1</v>
      </c>
      <c r="I391">
        <v>0</v>
      </c>
      <c r="J391" t="s">
        <v>30</v>
      </c>
      <c r="K391" s="45">
        <v>11.11</v>
      </c>
      <c r="L391">
        <f t="shared" si="129"/>
        <v>2030.11</v>
      </c>
      <c r="M391" s="15">
        <f t="shared" si="130"/>
        <v>2030.1933333333332</v>
      </c>
      <c r="N391" s="5">
        <v>15795</v>
      </c>
      <c r="O391" s="5">
        <f t="shared" si="131"/>
        <v>15795</v>
      </c>
      <c r="P391" s="5">
        <f t="shared" si="132"/>
        <v>118.47434743474348</v>
      </c>
      <c r="Q391" s="5">
        <f t="shared" si="133"/>
        <v>1421.6921692169217</v>
      </c>
      <c r="R391" s="5">
        <f t="shared" si="134"/>
        <v>1421.6921692169217</v>
      </c>
      <c r="S391" s="5">
        <f t="shared" si="135"/>
        <v>0</v>
      </c>
      <c r="T391" s="5">
        <f t="shared" si="136"/>
        <v>1421.6921692169217</v>
      </c>
      <c r="U391" s="5">
        <f t="shared" si="137"/>
        <v>14373.307830783078</v>
      </c>
    </row>
    <row r="392" spans="1:21">
      <c r="B392">
        <v>3</v>
      </c>
      <c r="C392" t="s">
        <v>1105</v>
      </c>
      <c r="E392">
        <v>217049</v>
      </c>
      <c r="G392">
        <v>2019</v>
      </c>
      <c r="H392">
        <v>6</v>
      </c>
      <c r="I392">
        <v>0</v>
      </c>
      <c r="J392" t="s">
        <v>30</v>
      </c>
      <c r="K392" s="45">
        <v>12</v>
      </c>
      <c r="L392">
        <f t="shared" si="129"/>
        <v>2031</v>
      </c>
      <c r="M392" s="15">
        <f t="shared" si="130"/>
        <v>2031.5</v>
      </c>
      <c r="N392" s="5">
        <v>18900</v>
      </c>
      <c r="O392" s="5">
        <f t="shared" si="131"/>
        <v>18900</v>
      </c>
      <c r="P392" s="5">
        <f t="shared" si="132"/>
        <v>131.25</v>
      </c>
      <c r="Q392" s="5">
        <f t="shared" si="133"/>
        <v>1575</v>
      </c>
      <c r="R392" s="5">
        <f t="shared" si="134"/>
        <v>1575</v>
      </c>
      <c r="S392" s="5">
        <f t="shared" si="135"/>
        <v>0</v>
      </c>
      <c r="T392" s="5">
        <f t="shared" si="136"/>
        <v>1575</v>
      </c>
      <c r="U392" s="5">
        <f t="shared" si="137"/>
        <v>17325</v>
      </c>
    </row>
    <row r="393" spans="1:21">
      <c r="B393">
        <v>5</v>
      </c>
      <c r="C393" t="s">
        <v>1106</v>
      </c>
      <c r="E393">
        <v>217050</v>
      </c>
      <c r="G393">
        <v>2019</v>
      </c>
      <c r="H393">
        <v>6</v>
      </c>
      <c r="I393">
        <v>0</v>
      </c>
      <c r="J393" t="s">
        <v>30</v>
      </c>
      <c r="K393" s="45">
        <v>12</v>
      </c>
      <c r="L393">
        <f t="shared" si="129"/>
        <v>2031</v>
      </c>
      <c r="M393" s="15">
        <f t="shared" si="130"/>
        <v>2031.5</v>
      </c>
      <c r="N393" s="5">
        <v>34425</v>
      </c>
      <c r="O393" s="5">
        <f t="shared" si="131"/>
        <v>34425</v>
      </c>
      <c r="P393" s="5">
        <f t="shared" si="132"/>
        <v>239.0625</v>
      </c>
      <c r="Q393" s="5">
        <f t="shared" si="133"/>
        <v>2868.75</v>
      </c>
      <c r="R393" s="5">
        <f t="shared" si="134"/>
        <v>2868.75</v>
      </c>
      <c r="S393" s="5">
        <f t="shared" si="135"/>
        <v>0</v>
      </c>
      <c r="T393" s="5">
        <f t="shared" si="136"/>
        <v>2868.75</v>
      </c>
      <c r="U393" s="5">
        <f t="shared" si="137"/>
        <v>31556.25</v>
      </c>
    </row>
    <row r="394" spans="1:21">
      <c r="B394">
        <v>5</v>
      </c>
      <c r="C394" t="s">
        <v>1107</v>
      </c>
      <c r="E394">
        <v>218089</v>
      </c>
      <c r="G394">
        <v>2019</v>
      </c>
      <c r="H394">
        <v>7</v>
      </c>
      <c r="I394">
        <v>0</v>
      </c>
      <c r="J394" t="s">
        <v>30</v>
      </c>
      <c r="K394" s="45">
        <v>12</v>
      </c>
      <c r="L394">
        <f t="shared" si="129"/>
        <v>2031</v>
      </c>
      <c r="M394" s="15">
        <f t="shared" si="130"/>
        <v>2031.5833333333333</v>
      </c>
      <c r="N394" s="5">
        <v>39950</v>
      </c>
      <c r="O394" s="5">
        <f t="shared" si="131"/>
        <v>39950</v>
      </c>
      <c r="P394" s="5">
        <f t="shared" si="132"/>
        <v>277.43055555555554</v>
      </c>
      <c r="Q394" s="5">
        <f t="shared" si="133"/>
        <v>3329.1666666666665</v>
      </c>
      <c r="R394" s="5">
        <f t="shared" si="134"/>
        <v>3329.1666666666665</v>
      </c>
      <c r="S394" s="5">
        <f t="shared" si="135"/>
        <v>0</v>
      </c>
      <c r="T394" s="5">
        <f t="shared" si="136"/>
        <v>3329.1666666666665</v>
      </c>
      <c r="U394" s="5">
        <f t="shared" si="137"/>
        <v>36620.833333333336</v>
      </c>
    </row>
    <row r="395" spans="1:21">
      <c r="B395">
        <v>5</v>
      </c>
      <c r="C395" t="s">
        <v>1067</v>
      </c>
      <c r="E395">
        <v>225386</v>
      </c>
      <c r="G395">
        <v>2019</v>
      </c>
      <c r="H395">
        <v>12</v>
      </c>
      <c r="I395">
        <v>0</v>
      </c>
      <c r="J395" t="s">
        <v>30</v>
      </c>
      <c r="K395" s="45">
        <v>12</v>
      </c>
      <c r="L395">
        <f>G395+K395</f>
        <v>2031</v>
      </c>
      <c r="M395" s="15">
        <f>+L395+(H395/12)</f>
        <v>2032</v>
      </c>
      <c r="N395" s="5">
        <v>39000</v>
      </c>
      <c r="O395" s="5">
        <f t="shared" si="131"/>
        <v>39000</v>
      </c>
      <c r="P395" s="5">
        <f t="shared" si="132"/>
        <v>270.83333333333331</v>
      </c>
      <c r="Q395" s="5">
        <f t="shared" si="133"/>
        <v>3250</v>
      </c>
      <c r="R395" s="5">
        <f t="shared" si="134"/>
        <v>3250</v>
      </c>
      <c r="S395" s="5">
        <f t="shared" si="135"/>
        <v>0</v>
      </c>
      <c r="T395" s="5">
        <f t="shared" si="136"/>
        <v>3250</v>
      </c>
      <c r="U395" s="5">
        <f t="shared" si="137"/>
        <v>35750</v>
      </c>
    </row>
    <row r="396" spans="1:21">
      <c r="B396">
        <v>8</v>
      </c>
      <c r="C396" t="s">
        <v>1068</v>
      </c>
      <c r="E396">
        <v>225385</v>
      </c>
      <c r="G396">
        <v>2019</v>
      </c>
      <c r="H396">
        <v>12</v>
      </c>
      <c r="I396">
        <v>0</v>
      </c>
      <c r="J396" t="s">
        <v>30</v>
      </c>
      <c r="K396" s="45">
        <v>12</v>
      </c>
      <c r="L396">
        <f>G396+K396</f>
        <v>2031</v>
      </c>
      <c r="M396" s="15">
        <f>+L396+(H396/12)</f>
        <v>2032</v>
      </c>
      <c r="N396" s="5">
        <v>48800</v>
      </c>
      <c r="O396" s="5">
        <f t="shared" si="131"/>
        <v>48800</v>
      </c>
      <c r="P396" s="5">
        <f t="shared" si="132"/>
        <v>338.88888888888886</v>
      </c>
      <c r="Q396" s="5">
        <f t="shared" si="133"/>
        <v>4066.6666666666661</v>
      </c>
      <c r="R396" s="5">
        <f t="shared" si="134"/>
        <v>4066.6666666666661</v>
      </c>
      <c r="S396" s="5">
        <f t="shared" si="135"/>
        <v>0</v>
      </c>
      <c r="T396" s="5">
        <f t="shared" si="136"/>
        <v>4066.6666666666661</v>
      </c>
      <c r="U396" s="5">
        <f t="shared" si="137"/>
        <v>44733.333333333336</v>
      </c>
    </row>
    <row r="397" spans="1:21">
      <c r="M397" s="15"/>
    </row>
    <row r="398" spans="1:21">
      <c r="L398" s="6" t="s">
        <v>452</v>
      </c>
      <c r="M398" s="36"/>
      <c r="N398" s="9">
        <f t="shared" ref="N398:U398" si="138">SUM(N238:N397)</f>
        <v>3649102.7599999988</v>
      </c>
      <c r="O398" s="9">
        <f t="shared" si="138"/>
        <v>3649102.7599999988</v>
      </c>
      <c r="P398" s="9">
        <f t="shared" si="138"/>
        <v>29196.77268999158</v>
      </c>
      <c r="Q398" s="9">
        <f t="shared" si="138"/>
        <v>350361.2722798991</v>
      </c>
      <c r="R398" s="9">
        <f t="shared" si="138"/>
        <v>121788.75856561333</v>
      </c>
      <c r="S398" s="9">
        <f t="shared" si="138"/>
        <v>2497873.0124999988</v>
      </c>
      <c r="T398" s="9">
        <f t="shared" si="138"/>
        <v>2619661.7710656133</v>
      </c>
      <c r="U398" s="9">
        <f t="shared" si="138"/>
        <v>1029440.9889343868</v>
      </c>
    </row>
    <row r="399" spans="1:21">
      <c r="M399" s="15"/>
    </row>
    <row r="400" spans="1:21">
      <c r="A400" s="4" t="s">
        <v>451</v>
      </c>
      <c r="M400" s="15"/>
    </row>
    <row r="401" spans="2:21">
      <c r="B401" s="17">
        <v>534</v>
      </c>
      <c r="C401" t="s">
        <v>139</v>
      </c>
      <c r="G401">
        <v>2000</v>
      </c>
      <c r="H401">
        <v>3</v>
      </c>
      <c r="I401">
        <v>0</v>
      </c>
      <c r="J401" t="s">
        <v>30</v>
      </c>
      <c r="K401" s="45">
        <v>7</v>
      </c>
      <c r="L401">
        <f t="shared" ref="L401:L432" si="139">G401+K401</f>
        <v>2007</v>
      </c>
      <c r="M401" s="15">
        <f t="shared" ref="M401:M432" si="140">+L401+(H401/12)</f>
        <v>2007.25</v>
      </c>
      <c r="N401" s="5">
        <v>24663.17</v>
      </c>
      <c r="O401" s="5">
        <f t="shared" ref="O401:O432" si="141">N401-N401*I401</f>
        <v>24663.17</v>
      </c>
      <c r="P401" s="5">
        <f t="shared" ref="P401:P432" si="142">O401/K401/12</f>
        <v>293.60916666666668</v>
      </c>
      <c r="Q401" s="5">
        <f t="shared" ref="Q401:Q432" si="143">P401*12</f>
        <v>3523.3100000000004</v>
      </c>
      <c r="R401" s="5">
        <f t="shared" ref="R401:R433" si="144">+IF(M401&lt;=$O$5,0,IF(L401&gt;$O$4,Q401,(P401*H401)))</f>
        <v>0</v>
      </c>
      <c r="S401" s="5">
        <f t="shared" ref="S401:S433" si="145">+IF(R401=0,N401,IF($O$3-G401&lt;1,0,(($O$3-G401)*Q401)))</f>
        <v>24663.17</v>
      </c>
      <c r="T401" s="5">
        <f t="shared" ref="T401:T433" si="146">+IF(R401=0,S401,S401+R401)</f>
        <v>24663.17</v>
      </c>
      <c r="U401" s="5">
        <f t="shared" ref="U401:U433" si="147">+N401-T401</f>
        <v>0</v>
      </c>
    </row>
    <row r="402" spans="2:21">
      <c r="B402" s="17">
        <v>534</v>
      </c>
      <c r="C402" t="s">
        <v>137</v>
      </c>
      <c r="G402">
        <v>1999</v>
      </c>
      <c r="H402">
        <v>8</v>
      </c>
      <c r="I402">
        <v>0</v>
      </c>
      <c r="J402" t="s">
        <v>30</v>
      </c>
      <c r="K402" s="45">
        <v>7</v>
      </c>
      <c r="L402">
        <f t="shared" ref="L402:L414" si="148">G402+K402</f>
        <v>2006</v>
      </c>
      <c r="M402" s="15">
        <f t="shared" ref="M402:M414" si="149">+L402+(H402/12)</f>
        <v>2006.6666666666667</v>
      </c>
      <c r="N402" s="5">
        <v>24663.17</v>
      </c>
      <c r="O402" s="5">
        <f t="shared" ref="O402:O414" si="150">N402-N402*I402</f>
        <v>24663.17</v>
      </c>
      <c r="P402" s="5">
        <f t="shared" ref="P402:P414" si="151">O402/K402/12</f>
        <v>293.60916666666668</v>
      </c>
      <c r="Q402" s="5">
        <f t="shared" ref="Q402:Q414" si="152">P402*12</f>
        <v>3523.3100000000004</v>
      </c>
      <c r="R402" s="5">
        <f t="shared" ref="R402:R414" si="153">+IF(M402&lt;=$O$5,0,IF(L402&gt;$O$4,Q402,(P402*H402)))</f>
        <v>0</v>
      </c>
      <c r="S402" s="5">
        <f t="shared" ref="S402:S414" si="154">+IF(R402=0,N402,IF($O$3-G402&lt;1,0,(($O$3-G402)*Q402)))</f>
        <v>24663.17</v>
      </c>
      <c r="T402" s="5">
        <f t="shared" ref="T402:T414" si="155">+IF(R402=0,S402,S402+R402)</f>
        <v>24663.17</v>
      </c>
      <c r="U402" s="5">
        <f t="shared" ref="U402:U414" si="156">+N402-T402</f>
        <v>0</v>
      </c>
    </row>
    <row r="403" spans="2:21">
      <c r="B403" s="17">
        <v>534</v>
      </c>
      <c r="C403" t="s">
        <v>137</v>
      </c>
      <c r="G403">
        <v>1999</v>
      </c>
      <c r="H403">
        <v>9</v>
      </c>
      <c r="I403">
        <v>0</v>
      </c>
      <c r="J403" t="s">
        <v>30</v>
      </c>
      <c r="K403" s="45">
        <v>7</v>
      </c>
      <c r="L403">
        <f t="shared" si="148"/>
        <v>2006</v>
      </c>
      <c r="M403" s="15">
        <f t="shared" si="149"/>
        <v>2006.75</v>
      </c>
      <c r="N403" s="5">
        <v>24663.17</v>
      </c>
      <c r="O403" s="5">
        <f t="shared" si="150"/>
        <v>24663.17</v>
      </c>
      <c r="P403" s="5">
        <f t="shared" si="151"/>
        <v>293.60916666666668</v>
      </c>
      <c r="Q403" s="5">
        <f t="shared" si="152"/>
        <v>3523.3100000000004</v>
      </c>
      <c r="R403" s="5">
        <f t="shared" si="153"/>
        <v>0</v>
      </c>
      <c r="S403" s="5">
        <f t="shared" si="154"/>
        <v>24663.17</v>
      </c>
      <c r="T403" s="5">
        <f t="shared" si="155"/>
        <v>24663.17</v>
      </c>
      <c r="U403" s="5">
        <f t="shared" si="156"/>
        <v>0</v>
      </c>
    </row>
    <row r="404" spans="2:21">
      <c r="B404" s="17">
        <v>534</v>
      </c>
      <c r="C404" t="s">
        <v>137</v>
      </c>
      <c r="G404">
        <v>1999</v>
      </c>
      <c r="H404">
        <v>9</v>
      </c>
      <c r="I404">
        <v>0</v>
      </c>
      <c r="J404" t="s">
        <v>30</v>
      </c>
      <c r="K404" s="45">
        <v>7</v>
      </c>
      <c r="L404">
        <f t="shared" si="148"/>
        <v>2006</v>
      </c>
      <c r="M404" s="15">
        <f t="shared" si="149"/>
        <v>2006.75</v>
      </c>
      <c r="N404" s="5">
        <v>24663.17</v>
      </c>
      <c r="O404" s="5">
        <f t="shared" si="150"/>
        <v>24663.17</v>
      </c>
      <c r="P404" s="5">
        <f t="shared" si="151"/>
        <v>293.60916666666668</v>
      </c>
      <c r="Q404" s="5">
        <f t="shared" si="152"/>
        <v>3523.3100000000004</v>
      </c>
      <c r="R404" s="5">
        <f t="shared" si="153"/>
        <v>0</v>
      </c>
      <c r="S404" s="5">
        <f t="shared" si="154"/>
        <v>24663.17</v>
      </c>
      <c r="T404" s="5">
        <f t="shared" si="155"/>
        <v>24663.17</v>
      </c>
      <c r="U404" s="5">
        <f t="shared" si="156"/>
        <v>0</v>
      </c>
    </row>
    <row r="405" spans="2:21">
      <c r="B405" s="17">
        <v>525</v>
      </c>
      <c r="C405" t="s">
        <v>136</v>
      </c>
      <c r="G405">
        <v>1999</v>
      </c>
      <c r="H405">
        <v>9</v>
      </c>
      <c r="I405">
        <v>0</v>
      </c>
      <c r="J405" t="s">
        <v>30</v>
      </c>
      <c r="K405" s="45">
        <v>7</v>
      </c>
      <c r="L405">
        <f t="shared" si="148"/>
        <v>2006</v>
      </c>
      <c r="M405" s="15">
        <f t="shared" si="149"/>
        <v>2006.75</v>
      </c>
      <c r="N405" s="5">
        <v>24663.17</v>
      </c>
      <c r="O405" s="5">
        <f t="shared" si="150"/>
        <v>24663.17</v>
      </c>
      <c r="P405" s="5">
        <f t="shared" si="151"/>
        <v>293.60916666666668</v>
      </c>
      <c r="Q405" s="5">
        <f t="shared" si="152"/>
        <v>3523.3100000000004</v>
      </c>
      <c r="R405" s="5">
        <f t="shared" si="153"/>
        <v>0</v>
      </c>
      <c r="S405" s="5">
        <f t="shared" si="154"/>
        <v>24663.17</v>
      </c>
      <c r="T405" s="5">
        <f t="shared" si="155"/>
        <v>24663.17</v>
      </c>
      <c r="U405" s="5">
        <f t="shared" si="156"/>
        <v>0</v>
      </c>
    </row>
    <row r="406" spans="2:21">
      <c r="B406" s="17">
        <v>534</v>
      </c>
      <c r="C406" t="s">
        <v>137</v>
      </c>
      <c r="G406">
        <v>1999</v>
      </c>
      <c r="H406">
        <v>10</v>
      </c>
      <c r="I406">
        <v>0</v>
      </c>
      <c r="J406" t="s">
        <v>30</v>
      </c>
      <c r="K406" s="45">
        <v>7</v>
      </c>
      <c r="L406">
        <f t="shared" si="148"/>
        <v>2006</v>
      </c>
      <c r="M406" s="15">
        <f t="shared" si="149"/>
        <v>2006.8333333333333</v>
      </c>
      <c r="N406" s="5">
        <v>24663.17</v>
      </c>
      <c r="O406" s="5">
        <f t="shared" si="150"/>
        <v>24663.17</v>
      </c>
      <c r="P406" s="5">
        <f t="shared" si="151"/>
        <v>293.60916666666668</v>
      </c>
      <c r="Q406" s="5">
        <f t="shared" si="152"/>
        <v>3523.3100000000004</v>
      </c>
      <c r="R406" s="5">
        <f t="shared" si="153"/>
        <v>0</v>
      </c>
      <c r="S406" s="5">
        <f t="shared" si="154"/>
        <v>24663.17</v>
      </c>
      <c r="T406" s="5">
        <f t="shared" si="155"/>
        <v>24663.17</v>
      </c>
      <c r="U406" s="5">
        <f t="shared" si="156"/>
        <v>0</v>
      </c>
    </row>
    <row r="407" spans="2:21">
      <c r="B407" s="17">
        <v>576</v>
      </c>
      <c r="C407" t="s">
        <v>139</v>
      </c>
      <c r="G407">
        <v>1999</v>
      </c>
      <c r="H407">
        <v>11</v>
      </c>
      <c r="I407">
        <v>0</v>
      </c>
      <c r="J407" t="s">
        <v>30</v>
      </c>
      <c r="K407" s="45">
        <v>7</v>
      </c>
      <c r="L407">
        <f t="shared" si="148"/>
        <v>2006</v>
      </c>
      <c r="M407" s="15">
        <f t="shared" si="149"/>
        <v>2006.9166666666667</v>
      </c>
      <c r="N407" s="5">
        <v>24663.17</v>
      </c>
      <c r="O407" s="5">
        <f t="shared" si="150"/>
        <v>24663.17</v>
      </c>
      <c r="P407" s="5">
        <f t="shared" si="151"/>
        <v>293.60916666666668</v>
      </c>
      <c r="Q407" s="5">
        <f t="shared" si="152"/>
        <v>3523.3100000000004</v>
      </c>
      <c r="R407" s="5">
        <f t="shared" si="153"/>
        <v>0</v>
      </c>
      <c r="S407" s="5">
        <f t="shared" si="154"/>
        <v>24663.17</v>
      </c>
      <c r="T407" s="5">
        <f t="shared" si="155"/>
        <v>24663.17</v>
      </c>
      <c r="U407" s="5">
        <f t="shared" si="156"/>
        <v>0</v>
      </c>
    </row>
    <row r="408" spans="2:21">
      <c r="B408" s="17">
        <v>576</v>
      </c>
      <c r="C408" t="s">
        <v>139</v>
      </c>
      <c r="G408">
        <v>1999</v>
      </c>
      <c r="H408">
        <v>11</v>
      </c>
      <c r="I408">
        <v>0</v>
      </c>
      <c r="J408" t="s">
        <v>30</v>
      </c>
      <c r="K408" s="45">
        <v>7</v>
      </c>
      <c r="L408">
        <f t="shared" si="148"/>
        <v>2006</v>
      </c>
      <c r="M408" s="15">
        <f t="shared" si="149"/>
        <v>2006.9166666666667</v>
      </c>
      <c r="N408" s="5">
        <v>24663.17</v>
      </c>
      <c r="O408" s="5">
        <f t="shared" si="150"/>
        <v>24663.17</v>
      </c>
      <c r="P408" s="5">
        <f t="shared" si="151"/>
        <v>293.60916666666668</v>
      </c>
      <c r="Q408" s="5">
        <f t="shared" si="152"/>
        <v>3523.3100000000004</v>
      </c>
      <c r="R408" s="5">
        <f t="shared" si="153"/>
        <v>0</v>
      </c>
      <c r="S408" s="5">
        <f t="shared" si="154"/>
        <v>24663.17</v>
      </c>
      <c r="T408" s="5">
        <f t="shared" si="155"/>
        <v>24663.17</v>
      </c>
      <c r="U408" s="5">
        <f t="shared" si="156"/>
        <v>0</v>
      </c>
    </row>
    <row r="409" spans="2:21">
      <c r="B409" s="17">
        <v>466</v>
      </c>
      <c r="C409" t="s">
        <v>139</v>
      </c>
      <c r="G409">
        <v>1999</v>
      </c>
      <c r="H409">
        <v>12</v>
      </c>
      <c r="I409">
        <v>0</v>
      </c>
      <c r="J409" t="s">
        <v>30</v>
      </c>
      <c r="K409" s="45">
        <v>7</v>
      </c>
      <c r="L409">
        <f t="shared" si="148"/>
        <v>2006</v>
      </c>
      <c r="M409" s="15">
        <f t="shared" si="149"/>
        <v>2007</v>
      </c>
      <c r="N409" s="5">
        <v>21922.82</v>
      </c>
      <c r="O409" s="5">
        <f t="shared" si="150"/>
        <v>21922.82</v>
      </c>
      <c r="P409" s="5">
        <f t="shared" si="151"/>
        <v>260.98595238095237</v>
      </c>
      <c r="Q409" s="5">
        <f t="shared" si="152"/>
        <v>3131.8314285714287</v>
      </c>
      <c r="R409" s="5">
        <f t="shared" si="153"/>
        <v>0</v>
      </c>
      <c r="S409" s="5">
        <f t="shared" si="154"/>
        <v>21922.82</v>
      </c>
      <c r="T409" s="5">
        <f t="shared" si="155"/>
        <v>21922.82</v>
      </c>
      <c r="U409" s="5">
        <f t="shared" si="156"/>
        <v>0</v>
      </c>
    </row>
    <row r="410" spans="2:21">
      <c r="B410" s="17">
        <v>58</v>
      </c>
      <c r="C410" t="s">
        <v>139</v>
      </c>
      <c r="G410">
        <v>1999</v>
      </c>
      <c r="H410">
        <v>12</v>
      </c>
      <c r="I410">
        <v>0</v>
      </c>
      <c r="J410" t="s">
        <v>30</v>
      </c>
      <c r="K410" s="45">
        <v>7</v>
      </c>
      <c r="L410">
        <f t="shared" si="148"/>
        <v>2006</v>
      </c>
      <c r="M410" s="15">
        <f t="shared" si="149"/>
        <v>2007</v>
      </c>
      <c r="N410" s="5">
        <v>2740.35</v>
      </c>
      <c r="O410" s="5">
        <f t="shared" si="150"/>
        <v>2740.35</v>
      </c>
      <c r="P410" s="5">
        <f t="shared" si="151"/>
        <v>32.623214285714283</v>
      </c>
      <c r="Q410" s="5">
        <f t="shared" si="152"/>
        <v>391.4785714285714</v>
      </c>
      <c r="R410" s="5">
        <f t="shared" si="153"/>
        <v>0</v>
      </c>
      <c r="S410" s="5">
        <f t="shared" si="154"/>
        <v>2740.35</v>
      </c>
      <c r="T410" s="5">
        <f t="shared" si="155"/>
        <v>2740.35</v>
      </c>
      <c r="U410" s="5">
        <f t="shared" si="156"/>
        <v>0</v>
      </c>
    </row>
    <row r="411" spans="2:21">
      <c r="B411" s="17">
        <v>534</v>
      </c>
      <c r="C411" t="s">
        <v>139</v>
      </c>
      <c r="G411">
        <v>2000</v>
      </c>
      <c r="H411">
        <v>1</v>
      </c>
      <c r="I411">
        <v>0</v>
      </c>
      <c r="J411" t="s">
        <v>30</v>
      </c>
      <c r="K411" s="45">
        <v>7</v>
      </c>
      <c r="L411">
        <f t="shared" si="148"/>
        <v>2007</v>
      </c>
      <c r="M411" s="15">
        <f t="shared" si="149"/>
        <v>2007.0833333333333</v>
      </c>
      <c r="N411" s="5">
        <v>23414.400000000001</v>
      </c>
      <c r="O411" s="5">
        <f t="shared" si="150"/>
        <v>23414.400000000001</v>
      </c>
      <c r="P411" s="5">
        <f t="shared" si="151"/>
        <v>278.74285714285719</v>
      </c>
      <c r="Q411" s="5">
        <f t="shared" si="152"/>
        <v>3344.9142857142861</v>
      </c>
      <c r="R411" s="5">
        <f t="shared" si="153"/>
        <v>0</v>
      </c>
      <c r="S411" s="5">
        <f t="shared" si="154"/>
        <v>23414.400000000001</v>
      </c>
      <c r="T411" s="5">
        <f t="shared" si="155"/>
        <v>23414.400000000001</v>
      </c>
      <c r="U411" s="5">
        <f t="shared" si="156"/>
        <v>0</v>
      </c>
    </row>
    <row r="412" spans="2:21">
      <c r="B412" s="17">
        <v>534</v>
      </c>
      <c r="C412" t="s">
        <v>139</v>
      </c>
      <c r="G412">
        <v>2000</v>
      </c>
      <c r="H412">
        <v>1</v>
      </c>
      <c r="I412">
        <v>0</v>
      </c>
      <c r="J412" t="s">
        <v>30</v>
      </c>
      <c r="K412" s="45">
        <v>7</v>
      </c>
      <c r="L412">
        <f t="shared" si="148"/>
        <v>2007</v>
      </c>
      <c r="M412" s="15">
        <f t="shared" si="149"/>
        <v>2007.0833333333333</v>
      </c>
      <c r="N412" s="5">
        <v>24663.17</v>
      </c>
      <c r="O412" s="5">
        <f t="shared" si="150"/>
        <v>24663.17</v>
      </c>
      <c r="P412" s="5">
        <f t="shared" si="151"/>
        <v>293.60916666666668</v>
      </c>
      <c r="Q412" s="5">
        <f t="shared" si="152"/>
        <v>3523.3100000000004</v>
      </c>
      <c r="R412" s="5">
        <f t="shared" si="153"/>
        <v>0</v>
      </c>
      <c r="S412" s="5">
        <f t="shared" si="154"/>
        <v>24663.17</v>
      </c>
      <c r="T412" s="5">
        <f t="shared" si="155"/>
        <v>24663.17</v>
      </c>
      <c r="U412" s="5">
        <f t="shared" si="156"/>
        <v>0</v>
      </c>
    </row>
    <row r="413" spans="2:21">
      <c r="B413" s="17">
        <v>534</v>
      </c>
      <c r="C413" t="s">
        <v>139</v>
      </c>
      <c r="G413">
        <v>2000</v>
      </c>
      <c r="H413">
        <v>1</v>
      </c>
      <c r="I413">
        <v>0</v>
      </c>
      <c r="J413" t="s">
        <v>30</v>
      </c>
      <c r="K413" s="45">
        <v>7</v>
      </c>
      <c r="L413">
        <f t="shared" si="148"/>
        <v>2007</v>
      </c>
      <c r="M413" s="15">
        <f t="shared" si="149"/>
        <v>2007.0833333333333</v>
      </c>
      <c r="N413" s="5">
        <v>24663.17</v>
      </c>
      <c r="O413" s="5">
        <f t="shared" si="150"/>
        <v>24663.17</v>
      </c>
      <c r="P413" s="5">
        <f t="shared" si="151"/>
        <v>293.60916666666668</v>
      </c>
      <c r="Q413" s="5">
        <f t="shared" si="152"/>
        <v>3523.3100000000004</v>
      </c>
      <c r="R413" s="5">
        <f t="shared" si="153"/>
        <v>0</v>
      </c>
      <c r="S413" s="5">
        <f t="shared" si="154"/>
        <v>24663.17</v>
      </c>
      <c r="T413" s="5">
        <f t="shared" si="155"/>
        <v>24663.17</v>
      </c>
      <c r="U413" s="5">
        <f t="shared" si="156"/>
        <v>0</v>
      </c>
    </row>
    <row r="414" spans="2:21">
      <c r="B414" s="17">
        <v>534</v>
      </c>
      <c r="C414" t="s">
        <v>139</v>
      </c>
      <c r="G414">
        <v>2000</v>
      </c>
      <c r="H414">
        <v>2</v>
      </c>
      <c r="I414">
        <v>0</v>
      </c>
      <c r="J414" t="s">
        <v>30</v>
      </c>
      <c r="K414" s="45">
        <v>7</v>
      </c>
      <c r="L414">
        <f t="shared" si="148"/>
        <v>2007</v>
      </c>
      <c r="M414" s="15">
        <f t="shared" si="149"/>
        <v>2007.1666666666667</v>
      </c>
      <c r="N414" s="5">
        <v>24449.08</v>
      </c>
      <c r="O414" s="5">
        <f t="shared" si="150"/>
        <v>24449.08</v>
      </c>
      <c r="P414" s="5">
        <f t="shared" si="151"/>
        <v>291.06047619047621</v>
      </c>
      <c r="Q414" s="5">
        <f t="shared" si="152"/>
        <v>3492.7257142857143</v>
      </c>
      <c r="R414" s="5">
        <f t="shared" si="153"/>
        <v>0</v>
      </c>
      <c r="S414" s="5">
        <f t="shared" si="154"/>
        <v>24449.08</v>
      </c>
      <c r="T414" s="5">
        <f t="shared" si="155"/>
        <v>24449.08</v>
      </c>
      <c r="U414" s="5">
        <f t="shared" si="156"/>
        <v>0</v>
      </c>
    </row>
    <row r="415" spans="2:21">
      <c r="B415">
        <v>534</v>
      </c>
      <c r="C415" t="s">
        <v>139</v>
      </c>
      <c r="G415">
        <v>2000</v>
      </c>
      <c r="H415">
        <v>3</v>
      </c>
      <c r="I415">
        <v>0</v>
      </c>
      <c r="J415" t="s">
        <v>30</v>
      </c>
      <c r="K415" s="45">
        <v>7</v>
      </c>
      <c r="L415">
        <f t="shared" si="139"/>
        <v>2007</v>
      </c>
      <c r="M415" s="15">
        <f t="shared" si="140"/>
        <v>2007.25</v>
      </c>
      <c r="N415" s="5">
        <v>24663.17</v>
      </c>
      <c r="O415" s="5">
        <f t="shared" si="141"/>
        <v>24663.17</v>
      </c>
      <c r="P415" s="5">
        <f t="shared" si="142"/>
        <v>293.60916666666668</v>
      </c>
      <c r="Q415" s="5">
        <f t="shared" si="143"/>
        <v>3523.3100000000004</v>
      </c>
      <c r="R415" s="5">
        <f t="shared" si="144"/>
        <v>0</v>
      </c>
      <c r="S415" s="5">
        <f t="shared" si="145"/>
        <v>24663.17</v>
      </c>
      <c r="T415" s="5">
        <f t="shared" si="146"/>
        <v>24663.17</v>
      </c>
      <c r="U415" s="5">
        <f t="shared" si="147"/>
        <v>0</v>
      </c>
    </row>
    <row r="416" spans="2:21">
      <c r="B416">
        <v>534</v>
      </c>
      <c r="C416" t="s">
        <v>139</v>
      </c>
      <c r="G416">
        <v>2000</v>
      </c>
      <c r="H416">
        <v>3</v>
      </c>
      <c r="I416">
        <v>0</v>
      </c>
      <c r="J416" t="s">
        <v>30</v>
      </c>
      <c r="K416" s="45">
        <v>7</v>
      </c>
      <c r="L416">
        <f t="shared" si="139"/>
        <v>2007</v>
      </c>
      <c r="M416" s="15">
        <f t="shared" si="140"/>
        <v>2007.25</v>
      </c>
      <c r="N416" s="5">
        <v>24663.17</v>
      </c>
      <c r="O416" s="5">
        <f t="shared" si="141"/>
        <v>24663.17</v>
      </c>
      <c r="P416" s="5">
        <f t="shared" si="142"/>
        <v>293.60916666666668</v>
      </c>
      <c r="Q416" s="5">
        <f t="shared" si="143"/>
        <v>3523.3100000000004</v>
      </c>
      <c r="R416" s="5">
        <f t="shared" si="144"/>
        <v>0</v>
      </c>
      <c r="S416" s="5">
        <f t="shared" si="145"/>
        <v>24663.17</v>
      </c>
      <c r="T416" s="5">
        <f t="shared" si="146"/>
        <v>24663.17</v>
      </c>
      <c r="U416" s="5">
        <f t="shared" si="147"/>
        <v>0</v>
      </c>
    </row>
    <row r="417" spans="2:21">
      <c r="B417">
        <v>531</v>
      </c>
      <c r="C417" t="s">
        <v>290</v>
      </c>
      <c r="G417">
        <v>2000</v>
      </c>
      <c r="H417">
        <v>6</v>
      </c>
      <c r="I417">
        <v>0</v>
      </c>
      <c r="J417" t="s">
        <v>30</v>
      </c>
      <c r="K417" s="45">
        <v>7</v>
      </c>
      <c r="L417">
        <f t="shared" si="139"/>
        <v>2007</v>
      </c>
      <c r="M417" s="15">
        <f t="shared" si="140"/>
        <v>2007.5</v>
      </c>
      <c r="N417" s="5">
        <v>24965.69</v>
      </c>
      <c r="O417" s="5">
        <f t="shared" si="141"/>
        <v>24965.69</v>
      </c>
      <c r="P417" s="5">
        <f t="shared" si="142"/>
        <v>297.21059523809521</v>
      </c>
      <c r="Q417" s="5">
        <f t="shared" si="143"/>
        <v>3566.5271428571423</v>
      </c>
      <c r="R417" s="5">
        <f t="shared" si="144"/>
        <v>0</v>
      </c>
      <c r="S417" s="5">
        <f t="shared" si="145"/>
        <v>24965.69</v>
      </c>
      <c r="T417" s="5">
        <f t="shared" si="146"/>
        <v>24965.69</v>
      </c>
      <c r="U417" s="5">
        <f t="shared" si="147"/>
        <v>0</v>
      </c>
    </row>
    <row r="418" spans="2:21">
      <c r="B418">
        <v>531</v>
      </c>
      <c r="C418" t="s">
        <v>290</v>
      </c>
      <c r="G418">
        <v>2000</v>
      </c>
      <c r="H418">
        <v>6</v>
      </c>
      <c r="I418">
        <v>0</v>
      </c>
      <c r="J418" t="s">
        <v>30</v>
      </c>
      <c r="K418" s="45">
        <v>7</v>
      </c>
      <c r="L418">
        <f t="shared" si="139"/>
        <v>2007</v>
      </c>
      <c r="M418" s="15">
        <f t="shared" si="140"/>
        <v>2007.5</v>
      </c>
      <c r="N418" s="5">
        <v>24965.69</v>
      </c>
      <c r="O418" s="5">
        <f t="shared" si="141"/>
        <v>24965.69</v>
      </c>
      <c r="P418" s="5">
        <f t="shared" si="142"/>
        <v>297.21059523809521</v>
      </c>
      <c r="Q418" s="5">
        <f t="shared" si="143"/>
        <v>3566.5271428571423</v>
      </c>
      <c r="R418" s="5">
        <f t="shared" si="144"/>
        <v>0</v>
      </c>
      <c r="S418" s="5">
        <f t="shared" si="145"/>
        <v>24965.69</v>
      </c>
      <c r="T418" s="5">
        <f t="shared" si="146"/>
        <v>24965.69</v>
      </c>
      <c r="U418" s="5">
        <f t="shared" si="147"/>
        <v>0</v>
      </c>
    </row>
    <row r="419" spans="2:21">
      <c r="B419">
        <v>525</v>
      </c>
      <c r="C419" t="s">
        <v>139</v>
      </c>
      <c r="G419">
        <v>2000</v>
      </c>
      <c r="H419">
        <v>9</v>
      </c>
      <c r="I419">
        <v>0</v>
      </c>
      <c r="J419" t="s">
        <v>30</v>
      </c>
      <c r="K419" s="45">
        <v>7</v>
      </c>
      <c r="L419">
        <f t="shared" si="139"/>
        <v>2007</v>
      </c>
      <c r="M419" s="15">
        <f t="shared" si="140"/>
        <v>2007.75</v>
      </c>
      <c r="N419" s="5">
        <v>24663.17</v>
      </c>
      <c r="O419" s="5">
        <f t="shared" si="141"/>
        <v>24663.17</v>
      </c>
      <c r="P419" s="5">
        <f t="shared" si="142"/>
        <v>293.60916666666668</v>
      </c>
      <c r="Q419" s="5">
        <f t="shared" si="143"/>
        <v>3523.3100000000004</v>
      </c>
      <c r="R419" s="5">
        <f t="shared" si="144"/>
        <v>0</v>
      </c>
      <c r="S419" s="5">
        <f t="shared" si="145"/>
        <v>24663.17</v>
      </c>
      <c r="T419" s="5">
        <f t="shared" si="146"/>
        <v>24663.17</v>
      </c>
      <c r="U419" s="5">
        <f t="shared" si="147"/>
        <v>0</v>
      </c>
    </row>
    <row r="420" spans="2:21">
      <c r="B420">
        <v>479</v>
      </c>
      <c r="C420" t="s">
        <v>290</v>
      </c>
      <c r="G420">
        <v>2000</v>
      </c>
      <c r="H420">
        <v>11</v>
      </c>
      <c r="I420">
        <v>0</v>
      </c>
      <c r="J420" t="s">
        <v>30</v>
      </c>
      <c r="K420" s="45">
        <v>7</v>
      </c>
      <c r="L420">
        <f t="shared" si="139"/>
        <v>2007</v>
      </c>
      <c r="M420" s="15">
        <f t="shared" si="140"/>
        <v>2007.9166666666667</v>
      </c>
      <c r="N420" s="5">
        <v>22523.05</v>
      </c>
      <c r="O420" s="5">
        <f t="shared" si="141"/>
        <v>22523.05</v>
      </c>
      <c r="P420" s="5">
        <f t="shared" si="142"/>
        <v>268.13154761904758</v>
      </c>
      <c r="Q420" s="5">
        <f t="shared" si="143"/>
        <v>3217.5785714285712</v>
      </c>
      <c r="R420" s="5">
        <f t="shared" si="144"/>
        <v>0</v>
      </c>
      <c r="S420" s="5">
        <f t="shared" si="145"/>
        <v>22523.05</v>
      </c>
      <c r="T420" s="5">
        <f t="shared" si="146"/>
        <v>22523.05</v>
      </c>
      <c r="U420" s="5">
        <f t="shared" si="147"/>
        <v>0</v>
      </c>
    </row>
    <row r="421" spans="2:21">
      <c r="B421">
        <v>525</v>
      </c>
      <c r="C421" t="s">
        <v>139</v>
      </c>
      <c r="G421">
        <v>2000</v>
      </c>
      <c r="H421">
        <v>11</v>
      </c>
      <c r="I421">
        <v>0</v>
      </c>
      <c r="J421" t="s">
        <v>30</v>
      </c>
      <c r="K421" s="45">
        <v>7</v>
      </c>
      <c r="L421">
        <f t="shared" si="139"/>
        <v>2007</v>
      </c>
      <c r="M421" s="15">
        <f t="shared" si="140"/>
        <v>2007.9166666666667</v>
      </c>
      <c r="N421" s="5">
        <v>24663.17</v>
      </c>
      <c r="O421" s="5">
        <f t="shared" si="141"/>
        <v>24663.17</v>
      </c>
      <c r="P421" s="5">
        <f t="shared" si="142"/>
        <v>293.60916666666668</v>
      </c>
      <c r="Q421" s="5">
        <f t="shared" si="143"/>
        <v>3523.3100000000004</v>
      </c>
      <c r="R421" s="5">
        <f t="shared" si="144"/>
        <v>0</v>
      </c>
      <c r="S421" s="5">
        <f t="shared" si="145"/>
        <v>24663.17</v>
      </c>
      <c r="T421" s="5">
        <f t="shared" si="146"/>
        <v>24663.17</v>
      </c>
      <c r="U421" s="5">
        <f t="shared" si="147"/>
        <v>0</v>
      </c>
    </row>
    <row r="422" spans="2:21">
      <c r="B422">
        <v>525</v>
      </c>
      <c r="C422" t="s">
        <v>139</v>
      </c>
      <c r="G422">
        <v>2000</v>
      </c>
      <c r="H422">
        <v>11</v>
      </c>
      <c r="I422">
        <v>0</v>
      </c>
      <c r="J422" t="s">
        <v>30</v>
      </c>
      <c r="K422" s="45">
        <v>7</v>
      </c>
      <c r="L422">
        <f t="shared" si="139"/>
        <v>2007</v>
      </c>
      <c r="M422" s="15">
        <f t="shared" si="140"/>
        <v>2007.9166666666667</v>
      </c>
      <c r="N422" s="5">
        <v>24663.17</v>
      </c>
      <c r="O422" s="5">
        <f t="shared" si="141"/>
        <v>24663.17</v>
      </c>
      <c r="P422" s="5">
        <f t="shared" si="142"/>
        <v>293.60916666666668</v>
      </c>
      <c r="Q422" s="5">
        <f t="shared" si="143"/>
        <v>3523.3100000000004</v>
      </c>
      <c r="R422" s="5">
        <f t="shared" si="144"/>
        <v>0</v>
      </c>
      <c r="S422" s="5">
        <f t="shared" si="145"/>
        <v>24663.17</v>
      </c>
      <c r="T422" s="5">
        <f t="shared" si="146"/>
        <v>24663.17</v>
      </c>
      <c r="U422" s="5">
        <f t="shared" si="147"/>
        <v>0</v>
      </c>
    </row>
    <row r="423" spans="2:21">
      <c r="B423">
        <v>528</v>
      </c>
      <c r="C423" t="s">
        <v>290</v>
      </c>
      <c r="G423">
        <v>2000</v>
      </c>
      <c r="H423">
        <v>12</v>
      </c>
      <c r="I423">
        <v>0</v>
      </c>
      <c r="J423" t="s">
        <v>30</v>
      </c>
      <c r="K423" s="45">
        <v>7</v>
      </c>
      <c r="L423">
        <f t="shared" si="139"/>
        <v>2007</v>
      </c>
      <c r="M423" s="15">
        <f t="shared" si="140"/>
        <v>2008</v>
      </c>
      <c r="N423" s="5">
        <v>24803.29</v>
      </c>
      <c r="O423" s="5">
        <f t="shared" si="141"/>
        <v>24803.29</v>
      </c>
      <c r="P423" s="5">
        <f t="shared" si="142"/>
        <v>295.27726190476193</v>
      </c>
      <c r="Q423" s="5">
        <f t="shared" si="143"/>
        <v>3543.3271428571434</v>
      </c>
      <c r="R423" s="5">
        <f t="shared" si="144"/>
        <v>0</v>
      </c>
      <c r="S423" s="5">
        <f t="shared" si="145"/>
        <v>24803.29</v>
      </c>
      <c r="T423" s="5">
        <f t="shared" si="146"/>
        <v>24803.29</v>
      </c>
      <c r="U423" s="5">
        <f t="shared" si="147"/>
        <v>0</v>
      </c>
    </row>
    <row r="424" spans="2:21">
      <c r="B424">
        <v>525</v>
      </c>
      <c r="C424" t="s">
        <v>290</v>
      </c>
      <c r="G424">
        <v>2000</v>
      </c>
      <c r="H424">
        <v>12</v>
      </c>
      <c r="I424">
        <v>0</v>
      </c>
      <c r="J424" t="s">
        <v>30</v>
      </c>
      <c r="K424" s="45">
        <v>7</v>
      </c>
      <c r="L424">
        <f t="shared" si="139"/>
        <v>2007</v>
      </c>
      <c r="M424" s="15">
        <f t="shared" si="140"/>
        <v>2008</v>
      </c>
      <c r="N424" s="5">
        <v>24698.05</v>
      </c>
      <c r="O424" s="5">
        <f t="shared" si="141"/>
        <v>24698.05</v>
      </c>
      <c r="P424" s="5">
        <f t="shared" si="142"/>
        <v>294.02440476190475</v>
      </c>
      <c r="Q424" s="5">
        <f t="shared" si="143"/>
        <v>3528.292857142857</v>
      </c>
      <c r="R424" s="5">
        <f t="shared" si="144"/>
        <v>0</v>
      </c>
      <c r="S424" s="5">
        <f t="shared" si="145"/>
        <v>24698.05</v>
      </c>
      <c r="T424" s="5">
        <f t="shared" si="146"/>
        <v>24698.05</v>
      </c>
      <c r="U424" s="5">
        <f t="shared" si="147"/>
        <v>0</v>
      </c>
    </row>
    <row r="425" spans="2:21">
      <c r="B425">
        <v>479</v>
      </c>
      <c r="C425" t="s">
        <v>290</v>
      </c>
      <c r="G425">
        <v>2000</v>
      </c>
      <c r="H425">
        <v>12</v>
      </c>
      <c r="I425">
        <v>0</v>
      </c>
      <c r="J425" t="s">
        <v>30</v>
      </c>
      <c r="K425" s="45">
        <v>7</v>
      </c>
      <c r="L425">
        <f t="shared" si="139"/>
        <v>2007</v>
      </c>
      <c r="M425" s="15">
        <f t="shared" si="140"/>
        <v>2008</v>
      </c>
      <c r="N425" s="5">
        <v>22523.05</v>
      </c>
      <c r="O425" s="5">
        <f t="shared" si="141"/>
        <v>22523.05</v>
      </c>
      <c r="P425" s="5">
        <f t="shared" si="142"/>
        <v>268.13154761904758</v>
      </c>
      <c r="Q425" s="5">
        <f t="shared" si="143"/>
        <v>3217.5785714285712</v>
      </c>
      <c r="R425" s="5">
        <f t="shared" si="144"/>
        <v>0</v>
      </c>
      <c r="S425" s="5">
        <f t="shared" si="145"/>
        <v>22523.05</v>
      </c>
      <c r="T425" s="5">
        <f t="shared" si="146"/>
        <v>22523.05</v>
      </c>
      <c r="U425" s="5">
        <f t="shared" si="147"/>
        <v>0</v>
      </c>
    </row>
    <row r="426" spans="2:21">
      <c r="B426">
        <v>484</v>
      </c>
      <c r="C426" t="s">
        <v>139</v>
      </c>
      <c r="G426">
        <v>2001</v>
      </c>
      <c r="H426">
        <v>2</v>
      </c>
      <c r="I426">
        <v>0</v>
      </c>
      <c r="J426" t="s">
        <v>30</v>
      </c>
      <c r="K426" s="45">
        <v>7</v>
      </c>
      <c r="L426">
        <f t="shared" si="139"/>
        <v>2008</v>
      </c>
      <c r="M426" s="15">
        <f t="shared" si="140"/>
        <v>2008.1666666666667</v>
      </c>
      <c r="N426" s="5">
        <v>22752</v>
      </c>
      <c r="O426" s="5">
        <f t="shared" si="141"/>
        <v>22752</v>
      </c>
      <c r="P426" s="5">
        <f t="shared" si="142"/>
        <v>270.85714285714283</v>
      </c>
      <c r="Q426" s="5">
        <f t="shared" si="143"/>
        <v>3250.2857142857138</v>
      </c>
      <c r="R426" s="5">
        <f t="shared" si="144"/>
        <v>0</v>
      </c>
      <c r="S426" s="5">
        <f t="shared" si="145"/>
        <v>22752</v>
      </c>
      <c r="T426" s="5">
        <f t="shared" si="146"/>
        <v>22752</v>
      </c>
      <c r="U426" s="5">
        <f t="shared" si="147"/>
        <v>0</v>
      </c>
    </row>
    <row r="427" spans="2:21">
      <c r="B427">
        <v>201</v>
      </c>
      <c r="C427" t="s">
        <v>288</v>
      </c>
      <c r="G427">
        <v>2001</v>
      </c>
      <c r="H427">
        <v>4</v>
      </c>
      <c r="I427">
        <v>0</v>
      </c>
      <c r="J427" t="s">
        <v>30</v>
      </c>
      <c r="K427" s="45">
        <v>7</v>
      </c>
      <c r="L427">
        <f t="shared" si="139"/>
        <v>2008</v>
      </c>
      <c r="M427" s="15">
        <f t="shared" si="140"/>
        <v>2008.3333333333333</v>
      </c>
      <c r="N427" s="5">
        <v>9442.98</v>
      </c>
      <c r="O427" s="5">
        <f t="shared" si="141"/>
        <v>9442.98</v>
      </c>
      <c r="P427" s="5">
        <f t="shared" si="142"/>
        <v>112.41642857142857</v>
      </c>
      <c r="Q427" s="5">
        <f t="shared" si="143"/>
        <v>1348.9971428571428</v>
      </c>
      <c r="R427" s="5">
        <f t="shared" si="144"/>
        <v>0</v>
      </c>
      <c r="S427" s="5">
        <f t="shared" si="145"/>
        <v>9442.98</v>
      </c>
      <c r="T427" s="5">
        <f t="shared" si="146"/>
        <v>9442.98</v>
      </c>
      <c r="U427" s="5">
        <f t="shared" si="147"/>
        <v>0</v>
      </c>
    </row>
    <row r="428" spans="2:21">
      <c r="B428">
        <v>523</v>
      </c>
      <c r="C428" t="s">
        <v>496</v>
      </c>
      <c r="G428">
        <v>2001</v>
      </c>
      <c r="H428">
        <v>6</v>
      </c>
      <c r="I428">
        <v>0</v>
      </c>
      <c r="J428" t="s">
        <v>30</v>
      </c>
      <c r="K428" s="45">
        <v>7</v>
      </c>
      <c r="L428">
        <f t="shared" si="139"/>
        <v>2008</v>
      </c>
      <c r="M428" s="15">
        <f t="shared" si="140"/>
        <v>2008.5</v>
      </c>
      <c r="N428" s="5">
        <v>24595.79</v>
      </c>
      <c r="O428" s="5">
        <f t="shared" si="141"/>
        <v>24595.79</v>
      </c>
      <c r="P428" s="5">
        <f t="shared" si="142"/>
        <v>292.80702380952386</v>
      </c>
      <c r="Q428" s="5">
        <f t="shared" si="143"/>
        <v>3513.6842857142865</v>
      </c>
      <c r="R428" s="5">
        <f t="shared" si="144"/>
        <v>0</v>
      </c>
      <c r="S428" s="5">
        <f t="shared" si="145"/>
        <v>24595.79</v>
      </c>
      <c r="T428" s="5">
        <f t="shared" si="146"/>
        <v>24595.79</v>
      </c>
      <c r="U428" s="5">
        <f t="shared" si="147"/>
        <v>0</v>
      </c>
    </row>
    <row r="429" spans="2:21">
      <c r="B429">
        <v>486</v>
      </c>
      <c r="C429" t="s">
        <v>496</v>
      </c>
      <c r="G429">
        <v>2001</v>
      </c>
      <c r="H429">
        <v>6</v>
      </c>
      <c r="I429">
        <v>0</v>
      </c>
      <c r="J429" t="s">
        <v>30</v>
      </c>
      <c r="K429" s="45">
        <v>7</v>
      </c>
      <c r="L429">
        <f t="shared" si="139"/>
        <v>2008</v>
      </c>
      <c r="M429" s="15">
        <f t="shared" si="140"/>
        <v>2008.5</v>
      </c>
      <c r="N429" s="5">
        <v>22837.32</v>
      </c>
      <c r="O429" s="5">
        <f t="shared" si="141"/>
        <v>22837.32</v>
      </c>
      <c r="P429" s="5">
        <f t="shared" si="142"/>
        <v>271.87285714285713</v>
      </c>
      <c r="Q429" s="5">
        <f t="shared" si="143"/>
        <v>3262.4742857142855</v>
      </c>
      <c r="R429" s="5">
        <f t="shared" si="144"/>
        <v>0</v>
      </c>
      <c r="S429" s="5">
        <f t="shared" si="145"/>
        <v>22837.32</v>
      </c>
      <c r="T429" s="5">
        <f t="shared" si="146"/>
        <v>22837.32</v>
      </c>
      <c r="U429" s="5">
        <f t="shared" si="147"/>
        <v>0</v>
      </c>
    </row>
    <row r="430" spans="2:21">
      <c r="B430">
        <v>486</v>
      </c>
      <c r="C430" t="s">
        <v>496</v>
      </c>
      <c r="G430">
        <v>2001</v>
      </c>
      <c r="H430">
        <v>6</v>
      </c>
      <c r="I430">
        <v>0</v>
      </c>
      <c r="J430" t="s">
        <v>30</v>
      </c>
      <c r="K430" s="45">
        <v>7</v>
      </c>
      <c r="L430">
        <f t="shared" si="139"/>
        <v>2008</v>
      </c>
      <c r="M430" s="15">
        <f t="shared" si="140"/>
        <v>2008.5</v>
      </c>
      <c r="N430" s="5">
        <v>22837.32</v>
      </c>
      <c r="O430" s="5">
        <f t="shared" si="141"/>
        <v>22837.32</v>
      </c>
      <c r="P430" s="5">
        <f t="shared" si="142"/>
        <v>271.87285714285713</v>
      </c>
      <c r="Q430" s="5">
        <f t="shared" si="143"/>
        <v>3262.4742857142855</v>
      </c>
      <c r="R430" s="5">
        <f t="shared" si="144"/>
        <v>0</v>
      </c>
      <c r="S430" s="5">
        <f t="shared" si="145"/>
        <v>22837.32</v>
      </c>
      <c r="T430" s="5">
        <f t="shared" si="146"/>
        <v>22837.32</v>
      </c>
      <c r="U430" s="5">
        <f t="shared" si="147"/>
        <v>0</v>
      </c>
    </row>
    <row r="431" spans="2:21">
      <c r="B431">
        <v>523</v>
      </c>
      <c r="C431" t="s">
        <v>496</v>
      </c>
      <c r="G431">
        <v>2001</v>
      </c>
      <c r="H431">
        <v>8</v>
      </c>
      <c r="I431">
        <v>0</v>
      </c>
      <c r="J431" t="s">
        <v>30</v>
      </c>
      <c r="K431" s="45">
        <v>7</v>
      </c>
      <c r="L431">
        <f t="shared" si="139"/>
        <v>2008</v>
      </c>
      <c r="M431" s="15">
        <f t="shared" si="140"/>
        <v>2008.6666666666667</v>
      </c>
      <c r="N431" s="5">
        <v>24596.33</v>
      </c>
      <c r="O431" s="5">
        <f t="shared" si="141"/>
        <v>24596.33</v>
      </c>
      <c r="P431" s="5">
        <f t="shared" si="142"/>
        <v>292.81345238095241</v>
      </c>
      <c r="Q431" s="5">
        <f t="shared" si="143"/>
        <v>3513.761428571429</v>
      </c>
      <c r="R431" s="5">
        <f t="shared" si="144"/>
        <v>0</v>
      </c>
      <c r="S431" s="5">
        <f t="shared" si="145"/>
        <v>24596.33</v>
      </c>
      <c r="T431" s="5">
        <f t="shared" si="146"/>
        <v>24596.33</v>
      </c>
      <c r="U431" s="5">
        <f t="shared" si="147"/>
        <v>0</v>
      </c>
    </row>
    <row r="432" spans="2:21">
      <c r="B432">
        <v>523</v>
      </c>
      <c r="C432" t="s">
        <v>496</v>
      </c>
      <c r="G432">
        <v>2001</v>
      </c>
      <c r="H432">
        <v>8</v>
      </c>
      <c r="I432">
        <v>0</v>
      </c>
      <c r="J432" t="s">
        <v>30</v>
      </c>
      <c r="K432" s="45">
        <v>7</v>
      </c>
      <c r="L432">
        <f t="shared" si="139"/>
        <v>2008</v>
      </c>
      <c r="M432" s="15">
        <f t="shared" si="140"/>
        <v>2008.6666666666667</v>
      </c>
      <c r="N432" s="5">
        <v>24596.33</v>
      </c>
      <c r="O432" s="5">
        <f t="shared" si="141"/>
        <v>24596.33</v>
      </c>
      <c r="P432" s="5">
        <f t="shared" si="142"/>
        <v>292.81345238095241</v>
      </c>
      <c r="Q432" s="5">
        <f t="shared" si="143"/>
        <v>3513.761428571429</v>
      </c>
      <c r="R432" s="5">
        <f t="shared" si="144"/>
        <v>0</v>
      </c>
      <c r="S432" s="5">
        <f t="shared" si="145"/>
        <v>24596.33</v>
      </c>
      <c r="T432" s="5">
        <f t="shared" si="146"/>
        <v>24596.33</v>
      </c>
      <c r="U432" s="5">
        <f t="shared" si="147"/>
        <v>0</v>
      </c>
    </row>
    <row r="433" spans="2:21">
      <c r="B433">
        <v>523</v>
      </c>
      <c r="C433" t="s">
        <v>496</v>
      </c>
      <c r="G433">
        <v>2001</v>
      </c>
      <c r="H433">
        <v>8</v>
      </c>
      <c r="I433">
        <v>0</v>
      </c>
      <c r="J433" t="s">
        <v>30</v>
      </c>
      <c r="K433" s="45">
        <v>7</v>
      </c>
      <c r="L433">
        <f t="shared" ref="L433:L444" si="157">G433+K433</f>
        <v>2008</v>
      </c>
      <c r="M433" s="15">
        <f t="shared" ref="M433:M468" si="158">+L433+(H433/12)</f>
        <v>2008.6666666666667</v>
      </c>
      <c r="N433" s="5">
        <v>24595.79</v>
      </c>
      <c r="O433" s="5">
        <f t="shared" ref="O433:O444" si="159">N433-N433*I433</f>
        <v>24595.79</v>
      </c>
      <c r="P433" s="5">
        <f t="shared" ref="P433:P444" si="160">O433/K433/12</f>
        <v>292.80702380952386</v>
      </c>
      <c r="Q433" s="5">
        <f t="shared" ref="Q433:Q468" si="161">P433*12</f>
        <v>3513.6842857142865</v>
      </c>
      <c r="R433" s="5">
        <f t="shared" si="144"/>
        <v>0</v>
      </c>
      <c r="S433" s="5">
        <f t="shared" si="145"/>
        <v>24595.79</v>
      </c>
      <c r="T433" s="5">
        <f t="shared" si="146"/>
        <v>24595.79</v>
      </c>
      <c r="U433" s="5">
        <f t="shared" si="147"/>
        <v>0</v>
      </c>
    </row>
    <row r="434" spans="2:21">
      <c r="B434">
        <v>523</v>
      </c>
      <c r="C434" t="s">
        <v>496</v>
      </c>
      <c r="G434">
        <v>2001</v>
      </c>
      <c r="H434">
        <v>10</v>
      </c>
      <c r="I434">
        <v>0</v>
      </c>
      <c r="J434" t="s">
        <v>30</v>
      </c>
      <c r="K434" s="45">
        <v>7</v>
      </c>
      <c r="L434">
        <f t="shared" si="157"/>
        <v>2008</v>
      </c>
      <c r="M434" s="15">
        <f t="shared" si="158"/>
        <v>2008.8333333333333</v>
      </c>
      <c r="N434" s="5">
        <v>24595.79</v>
      </c>
      <c r="O434" s="5">
        <f t="shared" si="159"/>
        <v>24595.79</v>
      </c>
      <c r="P434" s="5">
        <f t="shared" si="160"/>
        <v>292.80702380952386</v>
      </c>
      <c r="Q434" s="5">
        <f t="shared" si="161"/>
        <v>3513.6842857142865</v>
      </c>
      <c r="R434" s="5">
        <f t="shared" ref="R434:R469" si="162">+IF(M434&lt;=$O$5,0,IF(L434&gt;$O$4,Q434,(P434*H434)))</f>
        <v>0</v>
      </c>
      <c r="S434" s="5">
        <f t="shared" ref="S434:S469" si="163">+IF(R434=0,N434,IF($O$3-G434&lt;1,0,(($O$3-G434)*Q434)))</f>
        <v>24595.79</v>
      </c>
      <c r="T434" s="5">
        <f t="shared" ref="T434:T469" si="164">+IF(R434=0,S434,S434+R434)</f>
        <v>24595.79</v>
      </c>
      <c r="U434" s="5">
        <f t="shared" ref="U434:U469" si="165">+N434-T434</f>
        <v>0</v>
      </c>
    </row>
    <row r="435" spans="2:21">
      <c r="B435">
        <v>523</v>
      </c>
      <c r="C435" t="s">
        <v>496</v>
      </c>
      <c r="G435">
        <v>2001</v>
      </c>
      <c r="H435">
        <v>10</v>
      </c>
      <c r="I435">
        <v>0</v>
      </c>
      <c r="J435" t="s">
        <v>30</v>
      </c>
      <c r="K435" s="45">
        <v>7</v>
      </c>
      <c r="L435">
        <f t="shared" si="157"/>
        <v>2008</v>
      </c>
      <c r="M435" s="15">
        <f t="shared" si="158"/>
        <v>2008.8333333333333</v>
      </c>
      <c r="N435" s="5">
        <v>24594.71</v>
      </c>
      <c r="O435" s="5">
        <f t="shared" si="159"/>
        <v>24594.71</v>
      </c>
      <c r="P435" s="5">
        <f t="shared" si="160"/>
        <v>292.79416666666663</v>
      </c>
      <c r="Q435" s="5">
        <f t="shared" si="161"/>
        <v>3513.5299999999997</v>
      </c>
      <c r="R435" s="5">
        <f t="shared" si="162"/>
        <v>0</v>
      </c>
      <c r="S435" s="5">
        <f t="shared" si="163"/>
        <v>24594.71</v>
      </c>
      <c r="T435" s="5">
        <f t="shared" si="164"/>
        <v>24594.71</v>
      </c>
      <c r="U435" s="5">
        <f t="shared" si="165"/>
        <v>0</v>
      </c>
    </row>
    <row r="436" spans="2:21">
      <c r="B436">
        <v>461</v>
      </c>
      <c r="C436" t="s">
        <v>496</v>
      </c>
      <c r="G436">
        <v>2001</v>
      </c>
      <c r="H436">
        <v>10</v>
      </c>
      <c r="I436">
        <v>0</v>
      </c>
      <c r="J436" t="s">
        <v>30</v>
      </c>
      <c r="K436" s="45">
        <v>7</v>
      </c>
      <c r="L436">
        <f t="shared" si="157"/>
        <v>2008</v>
      </c>
      <c r="M436" s="15">
        <f t="shared" si="158"/>
        <v>2008.8333333333333</v>
      </c>
      <c r="N436" s="5">
        <v>21681</v>
      </c>
      <c r="O436" s="5">
        <f t="shared" si="159"/>
        <v>21681</v>
      </c>
      <c r="P436" s="5">
        <f t="shared" si="160"/>
        <v>258.10714285714283</v>
      </c>
      <c r="Q436" s="5">
        <f t="shared" si="161"/>
        <v>3097.2857142857138</v>
      </c>
      <c r="R436" s="5">
        <f t="shared" si="162"/>
        <v>0</v>
      </c>
      <c r="S436" s="5">
        <f t="shared" si="163"/>
        <v>21681</v>
      </c>
      <c r="T436" s="5">
        <f t="shared" si="164"/>
        <v>21681</v>
      </c>
      <c r="U436" s="5">
        <f t="shared" si="165"/>
        <v>0</v>
      </c>
    </row>
    <row r="437" spans="2:21">
      <c r="B437">
        <v>497</v>
      </c>
      <c r="C437" t="s">
        <v>496</v>
      </c>
      <c r="G437">
        <v>2001</v>
      </c>
      <c r="H437">
        <v>11</v>
      </c>
      <c r="I437">
        <v>0</v>
      </c>
      <c r="J437" t="s">
        <v>30</v>
      </c>
      <c r="K437" s="45">
        <v>7</v>
      </c>
      <c r="L437">
        <f t="shared" si="157"/>
        <v>2008</v>
      </c>
      <c r="M437" s="15">
        <f t="shared" si="158"/>
        <v>2008.9166666666667</v>
      </c>
      <c r="N437" s="5">
        <v>23350.43</v>
      </c>
      <c r="O437" s="5">
        <f t="shared" si="159"/>
        <v>23350.43</v>
      </c>
      <c r="P437" s="5">
        <f t="shared" si="160"/>
        <v>277.98130952380956</v>
      </c>
      <c r="Q437" s="5">
        <f t="shared" si="161"/>
        <v>3335.7757142857145</v>
      </c>
      <c r="R437" s="5">
        <f t="shared" si="162"/>
        <v>0</v>
      </c>
      <c r="S437" s="5">
        <f t="shared" si="163"/>
        <v>23350.43</v>
      </c>
      <c r="T437" s="5">
        <f t="shared" si="164"/>
        <v>23350.43</v>
      </c>
      <c r="U437" s="5">
        <f t="shared" si="165"/>
        <v>0</v>
      </c>
    </row>
    <row r="438" spans="2:21">
      <c r="B438">
        <v>1050</v>
      </c>
      <c r="C438" t="s">
        <v>139</v>
      </c>
      <c r="G438">
        <v>2002</v>
      </c>
      <c r="H438">
        <v>2</v>
      </c>
      <c r="I438">
        <v>0</v>
      </c>
      <c r="J438" t="s">
        <v>30</v>
      </c>
      <c r="K438" s="45">
        <v>7</v>
      </c>
      <c r="L438">
        <f t="shared" si="157"/>
        <v>2009</v>
      </c>
      <c r="M438" s="15">
        <f t="shared" si="158"/>
        <v>2009.1666666666667</v>
      </c>
      <c r="N438" s="5">
        <v>49371.839999999997</v>
      </c>
      <c r="O438" s="5">
        <f t="shared" si="159"/>
        <v>49371.839999999997</v>
      </c>
      <c r="P438" s="5">
        <f t="shared" si="160"/>
        <v>587.76</v>
      </c>
      <c r="Q438" s="5">
        <f t="shared" si="161"/>
        <v>7053.12</v>
      </c>
      <c r="R438" s="5">
        <f t="shared" si="162"/>
        <v>0</v>
      </c>
      <c r="S438" s="5">
        <f t="shared" si="163"/>
        <v>49371.839999999997</v>
      </c>
      <c r="T438" s="5">
        <f t="shared" si="164"/>
        <v>49371.839999999997</v>
      </c>
      <c r="U438" s="5">
        <f t="shared" si="165"/>
        <v>0</v>
      </c>
    </row>
    <row r="439" spans="2:21">
      <c r="B439">
        <v>503</v>
      </c>
      <c r="C439" t="s">
        <v>496</v>
      </c>
      <c r="G439">
        <v>2003</v>
      </c>
      <c r="H439">
        <v>12</v>
      </c>
      <c r="I439">
        <v>0</v>
      </c>
      <c r="J439" t="s">
        <v>30</v>
      </c>
      <c r="K439" s="45">
        <v>7</v>
      </c>
      <c r="L439">
        <f t="shared" si="157"/>
        <v>2010</v>
      </c>
      <c r="M439" s="15">
        <f t="shared" si="158"/>
        <v>2011</v>
      </c>
      <c r="N439" s="5">
        <v>23635.15</v>
      </c>
      <c r="O439" s="5">
        <f t="shared" si="159"/>
        <v>23635.15</v>
      </c>
      <c r="P439" s="5">
        <f t="shared" si="160"/>
        <v>281.37083333333334</v>
      </c>
      <c r="Q439" s="5">
        <f t="shared" si="161"/>
        <v>3376.45</v>
      </c>
      <c r="R439" s="5">
        <f t="shared" si="162"/>
        <v>0</v>
      </c>
      <c r="S439" s="5">
        <f t="shared" si="163"/>
        <v>23635.15</v>
      </c>
      <c r="T439" s="5">
        <f t="shared" si="164"/>
        <v>23635.15</v>
      </c>
      <c r="U439" s="5">
        <f t="shared" si="165"/>
        <v>0</v>
      </c>
    </row>
    <row r="440" spans="2:21">
      <c r="B440">
        <v>36</v>
      </c>
      <c r="C440" t="s">
        <v>269</v>
      </c>
      <c r="G440">
        <v>2004</v>
      </c>
      <c r="H440">
        <v>1</v>
      </c>
      <c r="I440">
        <v>0</v>
      </c>
      <c r="J440" t="s">
        <v>30</v>
      </c>
      <c r="K440" s="45">
        <v>7</v>
      </c>
      <c r="L440">
        <f t="shared" si="157"/>
        <v>2011</v>
      </c>
      <c r="M440" s="15">
        <f t="shared" si="158"/>
        <v>2011.0833333333333</v>
      </c>
      <c r="N440" s="5">
        <v>1677.7</v>
      </c>
      <c r="O440" s="5">
        <f t="shared" si="159"/>
        <v>1677.7</v>
      </c>
      <c r="P440" s="5">
        <f t="shared" si="160"/>
        <v>19.972619047619048</v>
      </c>
      <c r="Q440" s="5">
        <f t="shared" si="161"/>
        <v>239.67142857142858</v>
      </c>
      <c r="R440" s="5">
        <f t="shared" si="162"/>
        <v>0</v>
      </c>
      <c r="S440" s="5">
        <f t="shared" si="163"/>
        <v>1677.7</v>
      </c>
      <c r="T440" s="5">
        <f t="shared" si="164"/>
        <v>1677.7</v>
      </c>
      <c r="U440" s="5">
        <f t="shared" si="165"/>
        <v>0</v>
      </c>
    </row>
    <row r="441" spans="2:21">
      <c r="B441">
        <v>506</v>
      </c>
      <c r="C441" t="s">
        <v>290</v>
      </c>
      <c r="G441">
        <v>2004</v>
      </c>
      <c r="H441">
        <v>2</v>
      </c>
      <c r="I441">
        <v>0</v>
      </c>
      <c r="J441" t="s">
        <v>30</v>
      </c>
      <c r="K441" s="45">
        <v>7</v>
      </c>
      <c r="L441">
        <f t="shared" si="157"/>
        <v>2011</v>
      </c>
      <c r="M441" s="15">
        <f t="shared" si="158"/>
        <v>2011.1666666666667</v>
      </c>
      <c r="N441" s="5">
        <v>23791.9</v>
      </c>
      <c r="O441" s="5">
        <f t="shared" si="159"/>
        <v>23791.9</v>
      </c>
      <c r="P441" s="5">
        <f t="shared" si="160"/>
        <v>283.23690476190478</v>
      </c>
      <c r="Q441" s="5">
        <f t="shared" si="161"/>
        <v>3398.8428571428576</v>
      </c>
      <c r="R441" s="5">
        <f t="shared" si="162"/>
        <v>0</v>
      </c>
      <c r="S441" s="5">
        <f t="shared" si="163"/>
        <v>23791.9</v>
      </c>
      <c r="T441" s="5">
        <f t="shared" si="164"/>
        <v>23791.9</v>
      </c>
      <c r="U441" s="5">
        <f t="shared" si="165"/>
        <v>0</v>
      </c>
    </row>
    <row r="442" spans="2:21">
      <c r="B442">
        <v>97</v>
      </c>
      <c r="C442" t="s">
        <v>157</v>
      </c>
      <c r="G442">
        <v>2004</v>
      </c>
      <c r="H442">
        <v>3</v>
      </c>
      <c r="I442">
        <v>0</v>
      </c>
      <c r="J442" t="s">
        <v>30</v>
      </c>
      <c r="K442" s="45">
        <v>7</v>
      </c>
      <c r="L442">
        <f t="shared" si="157"/>
        <v>2011</v>
      </c>
      <c r="M442" s="15">
        <f t="shared" si="158"/>
        <v>2011.25</v>
      </c>
      <c r="N442" s="5">
        <v>4661.2</v>
      </c>
      <c r="O442" s="5">
        <f t="shared" si="159"/>
        <v>4661.2</v>
      </c>
      <c r="P442" s="5">
        <f t="shared" si="160"/>
        <v>55.490476190476187</v>
      </c>
      <c r="Q442" s="5">
        <f t="shared" si="161"/>
        <v>665.88571428571424</v>
      </c>
      <c r="R442" s="5">
        <f t="shared" si="162"/>
        <v>0</v>
      </c>
      <c r="S442" s="5">
        <f t="shared" si="163"/>
        <v>4661.2</v>
      </c>
      <c r="T442" s="5">
        <f t="shared" si="164"/>
        <v>4661.2</v>
      </c>
      <c r="U442" s="5">
        <f t="shared" si="165"/>
        <v>0</v>
      </c>
    </row>
    <row r="443" spans="2:21">
      <c r="B443">
        <v>556</v>
      </c>
      <c r="C443" t="s">
        <v>287</v>
      </c>
      <c r="G443">
        <v>2006</v>
      </c>
      <c r="H443">
        <v>6</v>
      </c>
      <c r="I443">
        <v>0</v>
      </c>
      <c r="J443" t="s">
        <v>30</v>
      </c>
      <c r="K443" s="45">
        <v>7</v>
      </c>
      <c r="L443">
        <f t="shared" si="157"/>
        <v>2013</v>
      </c>
      <c r="M443" s="15">
        <f t="shared" si="158"/>
        <v>2013.5</v>
      </c>
      <c r="N443" s="5">
        <v>26122.639999999999</v>
      </c>
      <c r="O443" s="5">
        <f t="shared" si="159"/>
        <v>26122.639999999999</v>
      </c>
      <c r="P443" s="5">
        <f t="shared" si="160"/>
        <v>310.9838095238095</v>
      </c>
      <c r="Q443" s="5">
        <f t="shared" si="161"/>
        <v>3731.8057142857142</v>
      </c>
      <c r="R443" s="5">
        <f t="shared" si="162"/>
        <v>0</v>
      </c>
      <c r="S443" s="5">
        <f t="shared" si="163"/>
        <v>26122.639999999999</v>
      </c>
      <c r="T443" s="5">
        <f t="shared" si="164"/>
        <v>26122.639999999999</v>
      </c>
      <c r="U443" s="5">
        <f t="shared" si="165"/>
        <v>0</v>
      </c>
    </row>
    <row r="444" spans="2:21">
      <c r="B444">
        <v>372</v>
      </c>
      <c r="C444" t="s">
        <v>139</v>
      </c>
      <c r="G444">
        <v>2008</v>
      </c>
      <c r="H444">
        <v>3</v>
      </c>
      <c r="I444">
        <v>0</v>
      </c>
      <c r="J444" t="s">
        <v>30</v>
      </c>
      <c r="K444" s="45">
        <v>7</v>
      </c>
      <c r="L444">
        <f t="shared" si="157"/>
        <v>2015</v>
      </c>
      <c r="M444" s="15">
        <f t="shared" si="158"/>
        <v>2015.25</v>
      </c>
      <c r="N444" s="5">
        <v>17492.259999999998</v>
      </c>
      <c r="O444" s="5">
        <f t="shared" si="159"/>
        <v>17492.259999999998</v>
      </c>
      <c r="P444" s="5">
        <f t="shared" si="160"/>
        <v>208.24119047619047</v>
      </c>
      <c r="Q444" s="5">
        <f t="shared" si="161"/>
        <v>2498.8942857142856</v>
      </c>
      <c r="R444" s="5">
        <f t="shared" si="162"/>
        <v>0</v>
      </c>
      <c r="S444" s="5">
        <f t="shared" si="163"/>
        <v>17492.259999999998</v>
      </c>
      <c r="T444" s="5">
        <f t="shared" si="164"/>
        <v>17492.259999999998</v>
      </c>
      <c r="U444" s="5">
        <f t="shared" si="165"/>
        <v>0</v>
      </c>
    </row>
    <row r="445" spans="2:21">
      <c r="B445">
        <v>648</v>
      </c>
      <c r="C445" t="s">
        <v>139</v>
      </c>
      <c r="D445">
        <v>2181</v>
      </c>
      <c r="E445">
        <v>66098</v>
      </c>
      <c r="G445">
        <v>2009</v>
      </c>
      <c r="H445">
        <v>6</v>
      </c>
      <c r="I445">
        <v>0</v>
      </c>
      <c r="J445" t="s">
        <v>30</v>
      </c>
      <c r="K445" s="45">
        <v>7</v>
      </c>
      <c r="L445">
        <f t="shared" ref="L445:L468" si="166">G445+K445</f>
        <v>2016</v>
      </c>
      <c r="M445" s="15">
        <f t="shared" si="158"/>
        <v>2016.5</v>
      </c>
      <c r="N445" s="5">
        <v>26659.040000000001</v>
      </c>
      <c r="O445" s="5">
        <f t="shared" ref="O445:O468" si="167">N445-N445*I445</f>
        <v>26659.040000000001</v>
      </c>
      <c r="P445" s="5">
        <f t="shared" ref="P445:P468" si="168">O445/K445/12</f>
        <v>317.36952380952386</v>
      </c>
      <c r="Q445" s="5">
        <f t="shared" si="161"/>
        <v>3808.4342857142865</v>
      </c>
      <c r="R445" s="5">
        <f t="shared" si="162"/>
        <v>0</v>
      </c>
      <c r="S445" s="5">
        <f t="shared" si="163"/>
        <v>26659.040000000001</v>
      </c>
      <c r="T445" s="5">
        <f t="shared" si="164"/>
        <v>26659.040000000001</v>
      </c>
      <c r="U445" s="5">
        <f t="shared" si="165"/>
        <v>0</v>
      </c>
    </row>
    <row r="446" spans="2:21">
      <c r="B446">
        <v>291</v>
      </c>
      <c r="C446" t="s">
        <v>378</v>
      </c>
      <c r="E446">
        <v>74350</v>
      </c>
      <c r="G446">
        <v>2010</v>
      </c>
      <c r="H446">
        <v>5</v>
      </c>
      <c r="I446">
        <v>0</v>
      </c>
      <c r="J446" t="s">
        <v>30</v>
      </c>
      <c r="K446" s="45">
        <v>7</v>
      </c>
      <c r="L446">
        <f t="shared" si="166"/>
        <v>2017</v>
      </c>
      <c r="M446" s="15">
        <f t="shared" si="158"/>
        <v>2017.4166666666667</v>
      </c>
      <c r="N446" s="5">
        <v>9645.31</v>
      </c>
      <c r="O446" s="5">
        <f t="shared" si="167"/>
        <v>9645.31</v>
      </c>
      <c r="P446" s="5">
        <f t="shared" si="168"/>
        <v>114.82511904761905</v>
      </c>
      <c r="Q446" s="5">
        <f t="shared" si="161"/>
        <v>1377.9014285714286</v>
      </c>
      <c r="R446" s="5">
        <f t="shared" si="162"/>
        <v>0</v>
      </c>
      <c r="S446" s="5">
        <f t="shared" si="163"/>
        <v>9645.31</v>
      </c>
      <c r="T446" s="5">
        <f t="shared" si="164"/>
        <v>9645.31</v>
      </c>
      <c r="U446" s="5">
        <f t="shared" si="165"/>
        <v>0</v>
      </c>
    </row>
    <row r="447" spans="2:21">
      <c r="B447">
        <v>291</v>
      </c>
      <c r="C447" t="s">
        <v>378</v>
      </c>
      <c r="E447">
        <v>74347</v>
      </c>
      <c r="G447">
        <v>2010</v>
      </c>
      <c r="H447">
        <v>5</v>
      </c>
      <c r="I447">
        <v>0</v>
      </c>
      <c r="J447" t="s">
        <v>30</v>
      </c>
      <c r="K447" s="45">
        <v>7</v>
      </c>
      <c r="L447">
        <f t="shared" si="166"/>
        <v>2017</v>
      </c>
      <c r="M447" s="15">
        <f t="shared" si="158"/>
        <v>2017.4166666666667</v>
      </c>
      <c r="N447" s="5">
        <v>16673.25</v>
      </c>
      <c r="O447" s="5">
        <f t="shared" si="167"/>
        <v>16673.25</v>
      </c>
      <c r="P447" s="5">
        <f t="shared" si="168"/>
        <v>198.49107142857144</v>
      </c>
      <c r="Q447" s="5">
        <f t="shared" si="161"/>
        <v>2381.8928571428573</v>
      </c>
      <c r="R447" s="5">
        <f t="shared" si="162"/>
        <v>0</v>
      </c>
      <c r="S447" s="5">
        <f t="shared" si="163"/>
        <v>16673.25</v>
      </c>
      <c r="T447" s="5">
        <f t="shared" si="164"/>
        <v>16673.25</v>
      </c>
      <c r="U447" s="5">
        <f t="shared" si="165"/>
        <v>0</v>
      </c>
    </row>
    <row r="448" spans="2:21">
      <c r="B448">
        <v>357</v>
      </c>
      <c r="C448" t="s">
        <v>378</v>
      </c>
      <c r="G448">
        <v>2010</v>
      </c>
      <c r="H448">
        <v>5</v>
      </c>
      <c r="I448">
        <v>0</v>
      </c>
      <c r="J448" t="s">
        <v>30</v>
      </c>
      <c r="K448" s="45">
        <v>7</v>
      </c>
      <c r="L448">
        <f t="shared" si="166"/>
        <v>2017</v>
      </c>
      <c r="M448" s="15">
        <f t="shared" si="158"/>
        <v>2017.4166666666667</v>
      </c>
      <c r="N448" s="5">
        <v>19606</v>
      </c>
      <c r="O448" s="5">
        <f t="shared" si="167"/>
        <v>19606</v>
      </c>
      <c r="P448" s="5">
        <f t="shared" si="168"/>
        <v>233.4047619047619</v>
      </c>
      <c r="Q448" s="5">
        <f t="shared" si="161"/>
        <v>2800.8571428571427</v>
      </c>
      <c r="R448" s="5">
        <f t="shared" si="162"/>
        <v>0</v>
      </c>
      <c r="S448" s="5">
        <f t="shared" si="163"/>
        <v>19606</v>
      </c>
      <c r="T448" s="5">
        <f t="shared" si="164"/>
        <v>19606</v>
      </c>
      <c r="U448" s="5">
        <f t="shared" si="165"/>
        <v>0</v>
      </c>
    </row>
    <row r="449" spans="2:21">
      <c r="B449">
        <v>357</v>
      </c>
      <c r="C449" t="s">
        <v>378</v>
      </c>
      <c r="G449">
        <v>2010</v>
      </c>
      <c r="H449">
        <v>5</v>
      </c>
      <c r="I449">
        <v>0</v>
      </c>
      <c r="J449" t="s">
        <v>30</v>
      </c>
      <c r="K449" s="45">
        <v>7</v>
      </c>
      <c r="L449">
        <f t="shared" si="166"/>
        <v>2017</v>
      </c>
      <c r="M449" s="15">
        <f t="shared" si="158"/>
        <v>2017.4166666666667</v>
      </c>
      <c r="N449" s="5">
        <v>12578.06</v>
      </c>
      <c r="O449" s="5">
        <f t="shared" si="167"/>
        <v>12578.06</v>
      </c>
      <c r="P449" s="5">
        <f t="shared" si="168"/>
        <v>149.73880952380952</v>
      </c>
      <c r="Q449" s="5">
        <f t="shared" si="161"/>
        <v>1796.8657142857141</v>
      </c>
      <c r="R449" s="5">
        <f t="shared" si="162"/>
        <v>0</v>
      </c>
      <c r="S449" s="5">
        <f t="shared" si="163"/>
        <v>12578.06</v>
      </c>
      <c r="T449" s="5">
        <f t="shared" si="164"/>
        <v>12578.06</v>
      </c>
      <c r="U449" s="5">
        <f t="shared" si="165"/>
        <v>0</v>
      </c>
    </row>
    <row r="450" spans="2:21">
      <c r="B450">
        <v>648</v>
      </c>
      <c r="C450" t="s">
        <v>378</v>
      </c>
      <c r="G450">
        <v>2010</v>
      </c>
      <c r="H450">
        <v>9</v>
      </c>
      <c r="I450">
        <v>0</v>
      </c>
      <c r="J450" t="s">
        <v>30</v>
      </c>
      <c r="K450" s="45">
        <v>7</v>
      </c>
      <c r="L450">
        <f t="shared" si="166"/>
        <v>2017</v>
      </c>
      <c r="M450" s="15">
        <f t="shared" si="158"/>
        <v>2017.75</v>
      </c>
      <c r="N450" s="5">
        <v>27714.37</v>
      </c>
      <c r="O450" s="5">
        <f t="shared" si="167"/>
        <v>27714.37</v>
      </c>
      <c r="P450" s="5">
        <f t="shared" si="168"/>
        <v>329.93297619047615</v>
      </c>
      <c r="Q450" s="5">
        <f t="shared" si="161"/>
        <v>3959.1957142857136</v>
      </c>
      <c r="R450" s="5">
        <f t="shared" si="162"/>
        <v>0</v>
      </c>
      <c r="S450" s="5">
        <f t="shared" si="163"/>
        <v>27714.37</v>
      </c>
      <c r="T450" s="5">
        <f t="shared" si="164"/>
        <v>27714.37</v>
      </c>
      <c r="U450" s="5">
        <f t="shared" si="165"/>
        <v>0</v>
      </c>
    </row>
    <row r="451" spans="2:21">
      <c r="B451">
        <v>648</v>
      </c>
      <c r="C451" t="s">
        <v>378</v>
      </c>
      <c r="E451">
        <v>84568</v>
      </c>
      <c r="G451">
        <v>2011</v>
      </c>
      <c r="H451">
        <v>5</v>
      </c>
      <c r="I451">
        <v>0</v>
      </c>
      <c r="J451" t="s">
        <v>30</v>
      </c>
      <c r="K451" s="45">
        <v>7</v>
      </c>
      <c r="L451">
        <f t="shared" si="166"/>
        <v>2018</v>
      </c>
      <c r="M451" s="15">
        <f t="shared" si="158"/>
        <v>2018.4166666666667</v>
      </c>
      <c r="N451" s="5">
        <v>31701.91</v>
      </c>
      <c r="O451" s="5">
        <f t="shared" si="167"/>
        <v>31701.91</v>
      </c>
      <c r="P451" s="5">
        <f t="shared" si="168"/>
        <v>377.40369047619043</v>
      </c>
      <c r="Q451" s="5">
        <f t="shared" si="161"/>
        <v>4528.8442857142854</v>
      </c>
      <c r="R451" s="5">
        <f t="shared" si="162"/>
        <v>0</v>
      </c>
      <c r="S451" s="5">
        <f t="shared" si="163"/>
        <v>31701.91</v>
      </c>
      <c r="T451" s="5">
        <f t="shared" si="164"/>
        <v>31701.91</v>
      </c>
      <c r="U451" s="5">
        <f t="shared" si="165"/>
        <v>0</v>
      </c>
    </row>
    <row r="452" spans="2:21">
      <c r="B452">
        <v>91</v>
      </c>
      <c r="C452" t="s">
        <v>378</v>
      </c>
      <c r="E452">
        <v>84570</v>
      </c>
      <c r="G452">
        <v>2011</v>
      </c>
      <c r="H452">
        <v>5</v>
      </c>
      <c r="I452">
        <v>0</v>
      </c>
      <c r="J452" t="s">
        <v>30</v>
      </c>
      <c r="K452" s="45">
        <v>7</v>
      </c>
      <c r="L452">
        <f t="shared" si="166"/>
        <v>2018</v>
      </c>
      <c r="M452" s="15">
        <f t="shared" si="158"/>
        <v>2018.4166666666667</v>
      </c>
      <c r="N452" s="5">
        <v>4451.96</v>
      </c>
      <c r="O452" s="5">
        <f t="shared" si="167"/>
        <v>4451.96</v>
      </c>
      <c r="P452" s="5">
        <f t="shared" si="168"/>
        <v>52.999523809523815</v>
      </c>
      <c r="Q452" s="5">
        <f t="shared" si="161"/>
        <v>635.99428571428575</v>
      </c>
      <c r="R452" s="5">
        <f t="shared" si="162"/>
        <v>0</v>
      </c>
      <c r="S452" s="5">
        <f t="shared" si="163"/>
        <v>4451.96</v>
      </c>
      <c r="T452" s="5">
        <f t="shared" si="164"/>
        <v>4451.96</v>
      </c>
      <c r="U452" s="5">
        <f t="shared" si="165"/>
        <v>0</v>
      </c>
    </row>
    <row r="453" spans="2:21">
      <c r="B453">
        <v>557</v>
      </c>
      <c r="C453" t="s">
        <v>378</v>
      </c>
      <c r="E453">
        <v>84575</v>
      </c>
      <c r="G453">
        <v>2011</v>
      </c>
      <c r="H453">
        <v>5</v>
      </c>
      <c r="I453">
        <v>0</v>
      </c>
      <c r="J453" t="s">
        <v>30</v>
      </c>
      <c r="K453" s="45">
        <v>7</v>
      </c>
      <c r="L453">
        <f t="shared" si="166"/>
        <v>2018</v>
      </c>
      <c r="M453" s="15">
        <f t="shared" si="158"/>
        <v>2018.4166666666667</v>
      </c>
      <c r="N453" s="5">
        <v>27249.94</v>
      </c>
      <c r="O453" s="5">
        <f t="shared" si="167"/>
        <v>27249.94</v>
      </c>
      <c r="P453" s="5">
        <f t="shared" si="168"/>
        <v>324.40404761904762</v>
      </c>
      <c r="Q453" s="5">
        <f t="shared" si="161"/>
        <v>3892.8485714285716</v>
      </c>
      <c r="R453" s="5">
        <f t="shared" si="162"/>
        <v>0</v>
      </c>
      <c r="S453" s="5">
        <f t="shared" si="163"/>
        <v>27249.94</v>
      </c>
      <c r="T453" s="5">
        <f t="shared" si="164"/>
        <v>27249.94</v>
      </c>
      <c r="U453" s="5">
        <f t="shared" si="165"/>
        <v>0</v>
      </c>
    </row>
    <row r="454" spans="2:21">
      <c r="B454">
        <v>648</v>
      </c>
      <c r="C454" t="s">
        <v>378</v>
      </c>
      <c r="E454">
        <v>89282</v>
      </c>
      <c r="G454">
        <v>2011</v>
      </c>
      <c r="H454">
        <v>12</v>
      </c>
      <c r="I454">
        <v>0</v>
      </c>
      <c r="J454" t="s">
        <v>30</v>
      </c>
      <c r="K454" s="45">
        <v>7</v>
      </c>
      <c r="L454">
        <f t="shared" si="166"/>
        <v>2018</v>
      </c>
      <c r="M454" s="15">
        <f t="shared" si="158"/>
        <v>2019</v>
      </c>
      <c r="N454" s="5">
        <v>29237.14</v>
      </c>
      <c r="O454" s="5">
        <f t="shared" si="167"/>
        <v>29237.14</v>
      </c>
      <c r="P454" s="5">
        <f t="shared" si="168"/>
        <v>348.06119047619046</v>
      </c>
      <c r="Q454" s="5">
        <f t="shared" si="161"/>
        <v>4176.7342857142858</v>
      </c>
      <c r="R454" s="5">
        <f t="shared" si="162"/>
        <v>0</v>
      </c>
      <c r="S454" s="5">
        <f t="shared" si="163"/>
        <v>29237.14</v>
      </c>
      <c r="T454" s="5">
        <f t="shared" si="164"/>
        <v>29237.14</v>
      </c>
      <c r="U454" s="5">
        <f t="shared" si="165"/>
        <v>0</v>
      </c>
    </row>
    <row r="455" spans="2:21">
      <c r="B455" s="17">
        <f>486+49</f>
        <v>535</v>
      </c>
      <c r="C455" t="s">
        <v>384</v>
      </c>
      <c r="E455" t="s">
        <v>508</v>
      </c>
      <c r="G455">
        <v>2011</v>
      </c>
      <c r="H455">
        <v>5</v>
      </c>
      <c r="I455">
        <v>0</v>
      </c>
      <c r="J455" t="s">
        <v>30</v>
      </c>
      <c r="K455" s="45">
        <v>7</v>
      </c>
      <c r="L455">
        <f>G455+K455</f>
        <v>2018</v>
      </c>
      <c r="M455" s="15">
        <f>+L455+(H455/12)</f>
        <v>2018.4166666666667</v>
      </c>
      <c r="N455" s="5">
        <f>25210.65+2541.82</f>
        <v>27752.47</v>
      </c>
      <c r="O455" s="5">
        <f>N455-N455*I455</f>
        <v>27752.47</v>
      </c>
      <c r="P455" s="5">
        <f>O455/K455/12</f>
        <v>330.38654761904763</v>
      </c>
      <c r="Q455" s="5">
        <f>P455*12</f>
        <v>3964.6385714285716</v>
      </c>
      <c r="R455" s="5">
        <f>+IF(M455&lt;=$O$5,0,IF(L455&gt;$O$4,Q455,(P455*H455)))</f>
        <v>0</v>
      </c>
      <c r="S455" s="5">
        <f>+IF(R455=0,N455,IF($O$3-G455&lt;1,0,(($O$3-G455)*Q455)))</f>
        <v>27752.47</v>
      </c>
      <c r="T455" s="5">
        <f>+IF(R455=0,S455,S455+R455)</f>
        <v>27752.47</v>
      </c>
      <c r="U455" s="5">
        <f>+N455-T455</f>
        <v>0</v>
      </c>
    </row>
    <row r="456" spans="2:21">
      <c r="B456" s="17">
        <v>486</v>
      </c>
      <c r="C456" t="s">
        <v>384</v>
      </c>
      <c r="E456">
        <v>94335</v>
      </c>
      <c r="G456">
        <v>2012</v>
      </c>
      <c r="H456">
        <v>6</v>
      </c>
      <c r="I456">
        <v>0</v>
      </c>
      <c r="J456" t="s">
        <v>30</v>
      </c>
      <c r="K456" s="45">
        <v>7</v>
      </c>
      <c r="L456">
        <f>G456+K456</f>
        <v>2019</v>
      </c>
      <c r="M456" s="15">
        <f>+L456+(H456/12)</f>
        <v>2019.5</v>
      </c>
      <c r="N456" s="5">
        <v>25058</v>
      </c>
      <c r="O456" s="5">
        <f>N456-N456*I456</f>
        <v>25058</v>
      </c>
      <c r="P456" s="5">
        <f>O456/K456/12</f>
        <v>298.3095238095238</v>
      </c>
      <c r="Q456" s="5">
        <f>P456*12</f>
        <v>3579.7142857142853</v>
      </c>
      <c r="R456" s="5">
        <f>+IF(M456&lt;=$O$5,0,IF(L456&gt;$O$4,Q456,(P456*H456)))</f>
        <v>1789.8571428571427</v>
      </c>
      <c r="S456" s="5">
        <f>+IF(R456=0,N456,IF($O$3-G456&lt;1,0,(($O$3-G456)*Q456)))</f>
        <v>21478.28571428571</v>
      </c>
      <c r="T456" s="5">
        <f>+IF(R456=0,S456,S456+R456)</f>
        <v>23268.142857142851</v>
      </c>
      <c r="U456" s="5">
        <f>+N456-T456</f>
        <v>1789.8571428571486</v>
      </c>
    </row>
    <row r="457" spans="2:21">
      <c r="B457">
        <v>648</v>
      </c>
      <c r="C457" t="s">
        <v>378</v>
      </c>
      <c r="E457">
        <v>93825</v>
      </c>
      <c r="G457">
        <v>2012</v>
      </c>
      <c r="H457">
        <v>5</v>
      </c>
      <c r="I457">
        <v>0</v>
      </c>
      <c r="J457" t="s">
        <v>30</v>
      </c>
      <c r="K457" s="45">
        <v>7</v>
      </c>
      <c r="L457">
        <f t="shared" si="166"/>
        <v>2019</v>
      </c>
      <c r="M457" s="15">
        <f t="shared" si="158"/>
        <v>2019.4166666666667</v>
      </c>
      <c r="N457" s="5">
        <v>28683</v>
      </c>
      <c r="O457" s="5">
        <f t="shared" si="167"/>
        <v>28683</v>
      </c>
      <c r="P457" s="5">
        <f t="shared" si="168"/>
        <v>341.46428571428572</v>
      </c>
      <c r="Q457" s="5">
        <f t="shared" si="161"/>
        <v>4097.5714285714284</v>
      </c>
      <c r="R457" s="5">
        <f t="shared" si="162"/>
        <v>1707.3214285714287</v>
      </c>
      <c r="S457" s="5">
        <f t="shared" si="163"/>
        <v>24585.428571428572</v>
      </c>
      <c r="T457" s="5">
        <f t="shared" si="164"/>
        <v>26292.75</v>
      </c>
      <c r="U457" s="5">
        <f t="shared" si="165"/>
        <v>2390.25</v>
      </c>
    </row>
    <row r="458" spans="2:21">
      <c r="B458">
        <f>648+648</f>
        <v>1296</v>
      </c>
      <c r="C458" t="s">
        <v>378</v>
      </c>
      <c r="E458" t="s">
        <v>638</v>
      </c>
      <c r="G458">
        <v>2012</v>
      </c>
      <c r="H458">
        <v>6</v>
      </c>
      <c r="I458">
        <v>0</v>
      </c>
      <c r="J458" t="s">
        <v>30</v>
      </c>
      <c r="K458" s="45">
        <v>7</v>
      </c>
      <c r="L458">
        <f t="shared" si="166"/>
        <v>2019</v>
      </c>
      <c r="M458" s="15">
        <f t="shared" si="158"/>
        <v>2019.5</v>
      </c>
      <c r="N458" s="5">
        <f>29796+29796</f>
        <v>59592</v>
      </c>
      <c r="O458" s="5">
        <f t="shared" si="167"/>
        <v>59592</v>
      </c>
      <c r="P458" s="5">
        <f t="shared" si="168"/>
        <v>709.42857142857144</v>
      </c>
      <c r="Q458" s="5">
        <f t="shared" si="161"/>
        <v>8513.1428571428569</v>
      </c>
      <c r="R458" s="5">
        <f t="shared" si="162"/>
        <v>4256.5714285714284</v>
      </c>
      <c r="S458" s="5">
        <f t="shared" si="163"/>
        <v>51078.857142857145</v>
      </c>
      <c r="T458" s="5">
        <f t="shared" si="164"/>
        <v>55335.428571428572</v>
      </c>
      <c r="U458" s="5">
        <f t="shared" si="165"/>
        <v>4256.5714285714275</v>
      </c>
    </row>
    <row r="459" spans="2:21">
      <c r="B459">
        <v>1296</v>
      </c>
      <c r="C459" t="s">
        <v>378</v>
      </c>
      <c r="E459" t="s">
        <v>662</v>
      </c>
      <c r="G459">
        <v>2013</v>
      </c>
      <c r="H459">
        <v>1</v>
      </c>
      <c r="I459">
        <v>0</v>
      </c>
      <c r="J459" t="s">
        <v>30</v>
      </c>
      <c r="K459" s="45">
        <v>7</v>
      </c>
      <c r="L459">
        <f t="shared" si="166"/>
        <v>2020</v>
      </c>
      <c r="M459" s="15">
        <f t="shared" si="158"/>
        <v>2020.0833333333333</v>
      </c>
      <c r="N459" s="5">
        <v>59052.82</v>
      </c>
      <c r="O459" s="5">
        <f t="shared" si="167"/>
        <v>59052.82</v>
      </c>
      <c r="P459" s="5">
        <f t="shared" si="168"/>
        <v>703.00976190476194</v>
      </c>
      <c r="Q459" s="5">
        <f t="shared" si="161"/>
        <v>8436.1171428571433</v>
      </c>
      <c r="R459" s="5">
        <f t="shared" si="162"/>
        <v>8436.1171428571433</v>
      </c>
      <c r="S459" s="5">
        <f t="shared" si="163"/>
        <v>42180.585714285713</v>
      </c>
      <c r="T459" s="5">
        <f t="shared" si="164"/>
        <v>50616.702857142853</v>
      </c>
      <c r="U459" s="5">
        <f t="shared" si="165"/>
        <v>8436.117142857147</v>
      </c>
    </row>
    <row r="460" spans="2:21">
      <c r="B460">
        <v>1296</v>
      </c>
      <c r="C460" t="s">
        <v>378</v>
      </c>
      <c r="E460" t="s">
        <v>663</v>
      </c>
      <c r="G460">
        <v>2013</v>
      </c>
      <c r="H460">
        <v>1</v>
      </c>
      <c r="I460">
        <v>0</v>
      </c>
      <c r="J460" t="s">
        <v>30</v>
      </c>
      <c r="K460" s="45">
        <v>7</v>
      </c>
      <c r="L460">
        <f t="shared" si="166"/>
        <v>2020</v>
      </c>
      <c r="M460" s="15">
        <f t="shared" si="158"/>
        <v>2020.0833333333333</v>
      </c>
      <c r="N460" s="5">
        <v>59378.46</v>
      </c>
      <c r="O460" s="5">
        <f t="shared" si="167"/>
        <v>59378.46</v>
      </c>
      <c r="P460" s="5">
        <f t="shared" si="168"/>
        <v>706.8864285714285</v>
      </c>
      <c r="Q460" s="5">
        <f t="shared" si="161"/>
        <v>8482.637142857142</v>
      </c>
      <c r="R460" s="5">
        <f t="shared" si="162"/>
        <v>8482.637142857142</v>
      </c>
      <c r="S460" s="5">
        <f t="shared" si="163"/>
        <v>42413.185714285712</v>
      </c>
      <c r="T460" s="5">
        <f t="shared" si="164"/>
        <v>50895.822857142855</v>
      </c>
      <c r="U460" s="5">
        <f t="shared" si="165"/>
        <v>8482.6371428571438</v>
      </c>
    </row>
    <row r="461" spans="2:21">
      <c r="B461">
        <v>1296</v>
      </c>
      <c r="C461" t="s">
        <v>378</v>
      </c>
      <c r="E461" t="s">
        <v>664</v>
      </c>
      <c r="G461">
        <v>2013</v>
      </c>
      <c r="H461">
        <v>3</v>
      </c>
      <c r="I461">
        <v>0</v>
      </c>
      <c r="J461" t="s">
        <v>30</v>
      </c>
      <c r="K461" s="45">
        <v>7</v>
      </c>
      <c r="L461">
        <f t="shared" si="166"/>
        <v>2020</v>
      </c>
      <c r="M461" s="15">
        <f t="shared" si="158"/>
        <v>2020.25</v>
      </c>
      <c r="N461" s="5">
        <v>59082.239999999998</v>
      </c>
      <c r="O461" s="5">
        <f t="shared" si="167"/>
        <v>59082.239999999998</v>
      </c>
      <c r="P461" s="5">
        <f t="shared" si="168"/>
        <v>703.36</v>
      </c>
      <c r="Q461" s="5">
        <f t="shared" si="161"/>
        <v>8440.32</v>
      </c>
      <c r="R461" s="5">
        <f t="shared" si="162"/>
        <v>8440.32</v>
      </c>
      <c r="S461" s="5">
        <f t="shared" si="163"/>
        <v>42201.599999999999</v>
      </c>
      <c r="T461" s="5">
        <f t="shared" si="164"/>
        <v>50641.919999999998</v>
      </c>
      <c r="U461" s="5">
        <f t="shared" si="165"/>
        <v>8440.32</v>
      </c>
    </row>
    <row r="462" spans="2:21">
      <c r="B462">
        <v>648</v>
      </c>
      <c r="C462" t="s">
        <v>378</v>
      </c>
      <c r="E462">
        <v>106181</v>
      </c>
      <c r="G462">
        <v>2013</v>
      </c>
      <c r="H462">
        <v>7</v>
      </c>
      <c r="I462">
        <v>0</v>
      </c>
      <c r="J462" t="s">
        <v>30</v>
      </c>
      <c r="K462" s="45">
        <v>7</v>
      </c>
      <c r="L462">
        <f t="shared" si="166"/>
        <v>2020</v>
      </c>
      <c r="M462" s="15">
        <f t="shared" si="158"/>
        <v>2020.5833333333333</v>
      </c>
      <c r="N462" s="5">
        <v>30302.54</v>
      </c>
      <c r="O462" s="5">
        <f t="shared" si="167"/>
        <v>30302.54</v>
      </c>
      <c r="P462" s="5">
        <f t="shared" si="168"/>
        <v>360.7445238095238</v>
      </c>
      <c r="Q462" s="5">
        <f t="shared" si="161"/>
        <v>4328.9342857142856</v>
      </c>
      <c r="R462" s="5">
        <f t="shared" si="162"/>
        <v>4328.9342857142856</v>
      </c>
      <c r="S462" s="5">
        <f t="shared" si="163"/>
        <v>21644.671428571426</v>
      </c>
      <c r="T462" s="5">
        <f t="shared" si="164"/>
        <v>25973.60571428571</v>
      </c>
      <c r="U462" s="5">
        <f t="shared" si="165"/>
        <v>4328.934285714291</v>
      </c>
    </row>
    <row r="463" spans="2:21">
      <c r="B463" s="17">
        <v>360</v>
      </c>
      <c r="C463" t="s">
        <v>384</v>
      </c>
      <c r="E463">
        <v>106805</v>
      </c>
      <c r="G463">
        <v>2013</v>
      </c>
      <c r="H463">
        <v>8</v>
      </c>
      <c r="I463">
        <v>0</v>
      </c>
      <c r="J463" t="s">
        <v>30</v>
      </c>
      <c r="K463" s="45">
        <v>7</v>
      </c>
      <c r="L463">
        <f t="shared" si="166"/>
        <v>2020</v>
      </c>
      <c r="M463" s="15">
        <f t="shared" si="158"/>
        <v>2020.6666666666667</v>
      </c>
      <c r="N463" s="5">
        <v>20639.8</v>
      </c>
      <c r="O463" s="5">
        <f t="shared" si="167"/>
        <v>20639.8</v>
      </c>
      <c r="P463" s="5">
        <f t="shared" si="168"/>
        <v>245.71190476190475</v>
      </c>
      <c r="Q463" s="5">
        <f t="shared" si="161"/>
        <v>2948.542857142857</v>
      </c>
      <c r="R463" s="5">
        <f t="shared" si="162"/>
        <v>2948.542857142857</v>
      </c>
      <c r="S463" s="5">
        <f t="shared" si="163"/>
        <v>14742.714285714284</v>
      </c>
      <c r="T463" s="5">
        <f t="shared" si="164"/>
        <v>17691.257142857143</v>
      </c>
      <c r="U463" s="5">
        <f t="shared" si="165"/>
        <v>2948.5428571428565</v>
      </c>
    </row>
    <row r="464" spans="2:21">
      <c r="B464" s="17">
        <v>360</v>
      </c>
      <c r="C464" t="s">
        <v>384</v>
      </c>
      <c r="E464">
        <v>107151</v>
      </c>
      <c r="G464">
        <v>2013</v>
      </c>
      <c r="H464">
        <v>9</v>
      </c>
      <c r="I464">
        <v>0</v>
      </c>
      <c r="J464" t="s">
        <v>30</v>
      </c>
      <c r="K464" s="45">
        <v>7</v>
      </c>
      <c r="L464">
        <f t="shared" si="166"/>
        <v>2020</v>
      </c>
      <c r="M464" s="15">
        <f t="shared" si="158"/>
        <v>2020.75</v>
      </c>
      <c r="N464" s="5">
        <v>20639.8</v>
      </c>
      <c r="O464" s="5">
        <f t="shared" si="167"/>
        <v>20639.8</v>
      </c>
      <c r="P464" s="5">
        <f t="shared" si="168"/>
        <v>245.71190476190475</v>
      </c>
      <c r="Q464" s="5">
        <f t="shared" si="161"/>
        <v>2948.542857142857</v>
      </c>
      <c r="R464" s="5">
        <f t="shared" si="162"/>
        <v>2948.542857142857</v>
      </c>
      <c r="S464" s="5">
        <f t="shared" si="163"/>
        <v>14742.714285714284</v>
      </c>
      <c r="T464" s="5">
        <f t="shared" si="164"/>
        <v>17691.257142857143</v>
      </c>
      <c r="U464" s="5">
        <f t="shared" si="165"/>
        <v>2948.5428571428565</v>
      </c>
    </row>
    <row r="465" spans="2:21">
      <c r="B465" s="17">
        <v>648</v>
      </c>
      <c r="C465" t="s">
        <v>378</v>
      </c>
      <c r="E465">
        <v>107425</v>
      </c>
      <c r="G465">
        <v>2013</v>
      </c>
      <c r="H465">
        <v>9</v>
      </c>
      <c r="I465">
        <v>0</v>
      </c>
      <c r="J465" t="s">
        <v>30</v>
      </c>
      <c r="K465" s="45">
        <v>7</v>
      </c>
      <c r="L465">
        <f t="shared" si="166"/>
        <v>2020</v>
      </c>
      <c r="M465" s="15">
        <f t="shared" si="158"/>
        <v>2020.75</v>
      </c>
      <c r="N465" s="5">
        <v>30302.54</v>
      </c>
      <c r="O465" s="5">
        <f t="shared" si="167"/>
        <v>30302.54</v>
      </c>
      <c r="P465" s="5">
        <f t="shared" si="168"/>
        <v>360.7445238095238</v>
      </c>
      <c r="Q465" s="5">
        <f t="shared" si="161"/>
        <v>4328.9342857142856</v>
      </c>
      <c r="R465" s="5">
        <f t="shared" si="162"/>
        <v>4328.9342857142856</v>
      </c>
      <c r="S465" s="5">
        <f t="shared" si="163"/>
        <v>21644.671428571426</v>
      </c>
      <c r="T465" s="5">
        <f t="shared" si="164"/>
        <v>25973.60571428571</v>
      </c>
      <c r="U465" s="5">
        <f t="shared" si="165"/>
        <v>4328.934285714291</v>
      </c>
    </row>
    <row r="466" spans="2:21">
      <c r="B466" s="17">
        <v>540</v>
      </c>
      <c r="C466" t="s">
        <v>491</v>
      </c>
      <c r="E466">
        <v>107426</v>
      </c>
      <c r="G466">
        <v>2013</v>
      </c>
      <c r="H466">
        <v>9</v>
      </c>
      <c r="I466">
        <v>0</v>
      </c>
      <c r="J466" t="s">
        <v>30</v>
      </c>
      <c r="K466" s="45">
        <v>7</v>
      </c>
      <c r="L466">
        <f t="shared" si="166"/>
        <v>2020</v>
      </c>
      <c r="M466" s="15">
        <f t="shared" si="158"/>
        <v>2020.75</v>
      </c>
      <c r="N466" s="5">
        <v>21107.85</v>
      </c>
      <c r="O466" s="5">
        <f t="shared" si="167"/>
        <v>21107.85</v>
      </c>
      <c r="P466" s="5">
        <f t="shared" si="168"/>
        <v>251.28392857142856</v>
      </c>
      <c r="Q466" s="5">
        <f t="shared" si="161"/>
        <v>3015.4071428571428</v>
      </c>
      <c r="R466" s="5">
        <f t="shared" si="162"/>
        <v>3015.4071428571428</v>
      </c>
      <c r="S466" s="5">
        <f t="shared" si="163"/>
        <v>15077.035714285714</v>
      </c>
      <c r="T466" s="5">
        <f t="shared" si="164"/>
        <v>18092.442857142858</v>
      </c>
      <c r="U466" s="5">
        <f t="shared" si="165"/>
        <v>3015.4071428571406</v>
      </c>
    </row>
    <row r="467" spans="2:21">
      <c r="B467" s="17">
        <v>648</v>
      </c>
      <c r="C467" t="s">
        <v>378</v>
      </c>
      <c r="E467">
        <v>108738</v>
      </c>
      <c r="G467">
        <v>2013</v>
      </c>
      <c r="H467">
        <v>11</v>
      </c>
      <c r="I467">
        <v>0</v>
      </c>
      <c r="J467" t="s">
        <v>30</v>
      </c>
      <c r="K467" s="45">
        <v>7</v>
      </c>
      <c r="L467">
        <f t="shared" si="166"/>
        <v>2020</v>
      </c>
      <c r="M467" s="15">
        <f t="shared" si="158"/>
        <v>2020.9166666666667</v>
      </c>
      <c r="N467" s="5">
        <v>30302.54</v>
      </c>
      <c r="O467" s="5">
        <f t="shared" si="167"/>
        <v>30302.54</v>
      </c>
      <c r="P467" s="5">
        <f t="shared" si="168"/>
        <v>360.7445238095238</v>
      </c>
      <c r="Q467" s="5">
        <f t="shared" si="161"/>
        <v>4328.9342857142856</v>
      </c>
      <c r="R467" s="5">
        <f t="shared" si="162"/>
        <v>4328.9342857142856</v>
      </c>
      <c r="S467" s="5">
        <f t="shared" si="163"/>
        <v>21644.671428571426</v>
      </c>
      <c r="T467" s="5">
        <f t="shared" si="164"/>
        <v>25973.60571428571</v>
      </c>
      <c r="U467" s="5">
        <f t="shared" si="165"/>
        <v>4328.934285714291</v>
      </c>
    </row>
    <row r="468" spans="2:21">
      <c r="B468" s="17">
        <v>648</v>
      </c>
      <c r="C468" t="s">
        <v>703</v>
      </c>
      <c r="E468">
        <v>111195</v>
      </c>
      <c r="G468">
        <v>2014</v>
      </c>
      <c r="H468">
        <v>2</v>
      </c>
      <c r="I468">
        <v>0</v>
      </c>
      <c r="J468" t="s">
        <v>30</v>
      </c>
      <c r="K468" s="45">
        <v>7</v>
      </c>
      <c r="L468">
        <f t="shared" si="166"/>
        <v>2021</v>
      </c>
      <c r="M468" s="15">
        <f t="shared" si="158"/>
        <v>2021.1666666666667</v>
      </c>
      <c r="N468" s="5">
        <v>30302.54</v>
      </c>
      <c r="O468" s="5">
        <f t="shared" si="167"/>
        <v>30302.54</v>
      </c>
      <c r="P468" s="5">
        <f t="shared" si="168"/>
        <v>360.7445238095238</v>
      </c>
      <c r="Q468" s="5">
        <f t="shared" si="161"/>
        <v>4328.9342857142856</v>
      </c>
      <c r="R468" s="5">
        <f t="shared" si="162"/>
        <v>4328.9342857142856</v>
      </c>
      <c r="S468" s="5">
        <f t="shared" si="163"/>
        <v>17315.737142857142</v>
      </c>
      <c r="T468" s="5">
        <f t="shared" si="164"/>
        <v>21644.671428571426</v>
      </c>
      <c r="U468" s="5">
        <f t="shared" si="165"/>
        <v>8657.8685714285748</v>
      </c>
    </row>
    <row r="469" spans="2:21">
      <c r="B469" s="17">
        <v>648</v>
      </c>
      <c r="C469" t="s">
        <v>703</v>
      </c>
      <c r="E469">
        <v>112985</v>
      </c>
      <c r="G469">
        <v>2014</v>
      </c>
      <c r="H469">
        <v>2</v>
      </c>
      <c r="I469">
        <v>0</v>
      </c>
      <c r="J469" t="s">
        <v>30</v>
      </c>
      <c r="K469" s="45">
        <v>7</v>
      </c>
      <c r="L469">
        <f t="shared" ref="L469:L478" si="169">G469+K469</f>
        <v>2021</v>
      </c>
      <c r="M469" s="15">
        <f t="shared" ref="M469:M513" si="170">+L469+(H469/12)</f>
        <v>2021.1666666666667</v>
      </c>
      <c r="N469" s="5">
        <v>30302.543000000001</v>
      </c>
      <c r="O469" s="5">
        <f t="shared" ref="O469:O500" si="171">N469-N469*I469</f>
        <v>30302.543000000001</v>
      </c>
      <c r="P469" s="5">
        <f t="shared" ref="P469:P500" si="172">O469/K469/12</f>
        <v>360.74455952380953</v>
      </c>
      <c r="Q469" s="5">
        <f t="shared" ref="Q469:Q513" si="173">P469*12</f>
        <v>4328.9347142857141</v>
      </c>
      <c r="R469" s="5">
        <f t="shared" si="162"/>
        <v>4328.9347142857141</v>
      </c>
      <c r="S469" s="5">
        <f t="shared" si="163"/>
        <v>17315.738857142856</v>
      </c>
      <c r="T469" s="5">
        <f t="shared" si="164"/>
        <v>21644.673571428571</v>
      </c>
      <c r="U469" s="5">
        <f t="shared" si="165"/>
        <v>8657.86942857143</v>
      </c>
    </row>
    <row r="470" spans="2:21">
      <c r="B470" s="17">
        <v>648</v>
      </c>
      <c r="C470" t="s">
        <v>703</v>
      </c>
      <c r="E470">
        <v>114100</v>
      </c>
      <c r="G470">
        <v>2014</v>
      </c>
      <c r="H470">
        <v>6</v>
      </c>
      <c r="I470">
        <v>0</v>
      </c>
      <c r="J470" t="s">
        <v>30</v>
      </c>
      <c r="K470" s="45">
        <v>7</v>
      </c>
      <c r="L470">
        <f t="shared" si="169"/>
        <v>2021</v>
      </c>
      <c r="M470" s="15">
        <f t="shared" si="170"/>
        <v>2021.5</v>
      </c>
      <c r="N470" s="5">
        <v>31156.75</v>
      </c>
      <c r="O470" s="5">
        <f t="shared" si="171"/>
        <v>31156.75</v>
      </c>
      <c r="P470" s="5">
        <f t="shared" si="172"/>
        <v>370.91369047619042</v>
      </c>
      <c r="Q470" s="5">
        <f t="shared" si="173"/>
        <v>4450.9642857142853</v>
      </c>
      <c r="R470" s="5">
        <f t="shared" ref="R470:R522" si="174">+IF(M470&lt;=$O$5,0,IF(L470&gt;$O$4,Q470,(P470*H470)))</f>
        <v>4450.9642857142853</v>
      </c>
      <c r="S470" s="5">
        <f t="shared" ref="S470:S522" si="175">+IF(R470=0,N470,IF($O$3-G470&lt;1,0,(($O$3-G470)*Q470)))</f>
        <v>17803.857142857141</v>
      </c>
      <c r="T470" s="5">
        <f t="shared" ref="T470:T522" si="176">+IF(R470=0,S470,S470+R470)</f>
        <v>22254.821428571428</v>
      </c>
      <c r="U470" s="5">
        <f t="shared" ref="U470:U522" si="177">+N470-T470</f>
        <v>8901.9285714285725</v>
      </c>
    </row>
    <row r="471" spans="2:21">
      <c r="B471" s="17">
        <v>486</v>
      </c>
      <c r="C471" t="s">
        <v>712</v>
      </c>
      <c r="E471">
        <v>114401</v>
      </c>
      <c r="G471">
        <v>2014</v>
      </c>
      <c r="H471">
        <v>3</v>
      </c>
      <c r="I471">
        <v>0</v>
      </c>
      <c r="J471" t="s">
        <v>30</v>
      </c>
      <c r="K471" s="45">
        <v>7</v>
      </c>
      <c r="L471">
        <f t="shared" si="169"/>
        <v>2021</v>
      </c>
      <c r="M471" s="15">
        <f t="shared" si="170"/>
        <v>2021.25</v>
      </c>
      <c r="N471" s="5">
        <v>26672.26</v>
      </c>
      <c r="O471" s="5">
        <f t="shared" si="171"/>
        <v>26672.26</v>
      </c>
      <c r="P471" s="5">
        <f t="shared" si="172"/>
        <v>317.52690476190475</v>
      </c>
      <c r="Q471" s="5">
        <f t="shared" si="173"/>
        <v>3810.3228571428572</v>
      </c>
      <c r="R471" s="5">
        <f t="shared" si="174"/>
        <v>3810.3228571428572</v>
      </c>
      <c r="S471" s="5">
        <f t="shared" si="175"/>
        <v>15241.291428571429</v>
      </c>
      <c r="T471" s="5">
        <f t="shared" si="176"/>
        <v>19051.614285714284</v>
      </c>
      <c r="U471" s="5">
        <f t="shared" si="177"/>
        <v>7620.6457142857143</v>
      </c>
    </row>
    <row r="472" spans="2:21">
      <c r="B472" s="17">
        <f>546+102</f>
        <v>648</v>
      </c>
      <c r="C472" t="s">
        <v>703</v>
      </c>
      <c r="E472" t="s">
        <v>713</v>
      </c>
      <c r="G472">
        <v>2014</v>
      </c>
      <c r="H472">
        <v>7</v>
      </c>
      <c r="I472">
        <v>0</v>
      </c>
      <c r="J472" t="s">
        <v>30</v>
      </c>
      <c r="K472" s="45">
        <v>7</v>
      </c>
      <c r="L472">
        <f t="shared" si="169"/>
        <v>2021</v>
      </c>
      <c r="M472" s="15">
        <f t="shared" si="170"/>
        <v>2021.5833333333333</v>
      </c>
      <c r="N472" s="5">
        <f>4903.92+26252.83</f>
        <v>31156.75</v>
      </c>
      <c r="O472" s="5">
        <f t="shared" si="171"/>
        <v>31156.75</v>
      </c>
      <c r="P472" s="5">
        <f t="shared" si="172"/>
        <v>370.91369047619042</v>
      </c>
      <c r="Q472" s="5">
        <f t="shared" si="173"/>
        <v>4450.9642857142853</v>
      </c>
      <c r="R472" s="5">
        <f t="shared" si="174"/>
        <v>4450.9642857142853</v>
      </c>
      <c r="S472" s="5">
        <f t="shared" si="175"/>
        <v>17803.857142857141</v>
      </c>
      <c r="T472" s="5">
        <f t="shared" si="176"/>
        <v>22254.821428571428</v>
      </c>
      <c r="U472" s="5">
        <f t="shared" si="177"/>
        <v>8901.9285714285725</v>
      </c>
    </row>
    <row r="473" spans="2:21">
      <c r="B473" s="17">
        <v>486</v>
      </c>
      <c r="C473" t="s">
        <v>712</v>
      </c>
      <c r="E473">
        <v>115101</v>
      </c>
      <c r="G473">
        <v>2014</v>
      </c>
      <c r="H473">
        <v>7</v>
      </c>
      <c r="I473">
        <v>0</v>
      </c>
      <c r="J473" t="s">
        <v>30</v>
      </c>
      <c r="K473" s="45">
        <v>7</v>
      </c>
      <c r="L473">
        <f t="shared" si="169"/>
        <v>2021</v>
      </c>
      <c r="M473" s="15">
        <f t="shared" si="170"/>
        <v>2021.5833333333333</v>
      </c>
      <c r="N473" s="5">
        <v>27813.17</v>
      </c>
      <c r="O473" s="5">
        <f t="shared" si="171"/>
        <v>27813.17</v>
      </c>
      <c r="P473" s="5">
        <f t="shared" si="172"/>
        <v>331.10916666666668</v>
      </c>
      <c r="Q473" s="5">
        <f t="shared" si="173"/>
        <v>3973.3100000000004</v>
      </c>
      <c r="R473" s="5">
        <f t="shared" si="174"/>
        <v>3973.3100000000004</v>
      </c>
      <c r="S473" s="5">
        <f t="shared" si="175"/>
        <v>15893.240000000002</v>
      </c>
      <c r="T473" s="5">
        <f t="shared" si="176"/>
        <v>19866.550000000003</v>
      </c>
      <c r="U473" s="5">
        <f t="shared" si="177"/>
        <v>7946.6199999999953</v>
      </c>
    </row>
    <row r="474" spans="2:21">
      <c r="B474" s="17">
        <v>624</v>
      </c>
      <c r="C474" t="s">
        <v>727</v>
      </c>
      <c r="E474">
        <v>117836</v>
      </c>
      <c r="G474">
        <v>2014</v>
      </c>
      <c r="H474">
        <v>10</v>
      </c>
      <c r="I474">
        <v>0</v>
      </c>
      <c r="J474" t="s">
        <v>30</v>
      </c>
      <c r="K474" s="45">
        <v>7</v>
      </c>
      <c r="L474">
        <f t="shared" si="169"/>
        <v>2021</v>
      </c>
      <c r="M474" s="15">
        <f t="shared" si="170"/>
        <v>2021.8333333333333</v>
      </c>
      <c r="N474" s="5">
        <v>26546.799999999999</v>
      </c>
      <c r="O474" s="5">
        <f t="shared" si="171"/>
        <v>26546.799999999999</v>
      </c>
      <c r="P474" s="5">
        <f t="shared" si="172"/>
        <v>316.03333333333336</v>
      </c>
      <c r="Q474" s="5">
        <f t="shared" si="173"/>
        <v>3792.4000000000005</v>
      </c>
      <c r="R474" s="5">
        <f t="shared" si="174"/>
        <v>3792.4000000000005</v>
      </c>
      <c r="S474" s="5">
        <f t="shared" si="175"/>
        <v>15169.600000000002</v>
      </c>
      <c r="T474" s="5">
        <f t="shared" si="176"/>
        <v>18962.000000000004</v>
      </c>
      <c r="U474" s="5">
        <f t="shared" si="177"/>
        <v>7584.7999999999956</v>
      </c>
    </row>
    <row r="475" spans="2:21">
      <c r="B475" s="17">
        <v>1728</v>
      </c>
      <c r="C475" t="s">
        <v>703</v>
      </c>
      <c r="E475">
        <v>117835</v>
      </c>
      <c r="G475">
        <v>2014</v>
      </c>
      <c r="H475">
        <v>10</v>
      </c>
      <c r="I475">
        <v>0</v>
      </c>
      <c r="J475" t="s">
        <v>30</v>
      </c>
      <c r="K475" s="45">
        <v>7</v>
      </c>
      <c r="L475">
        <f t="shared" si="169"/>
        <v>2021</v>
      </c>
      <c r="M475" s="15">
        <f t="shared" si="170"/>
        <v>2021.8333333333333</v>
      </c>
      <c r="N475" s="5">
        <v>62667.29</v>
      </c>
      <c r="O475" s="5">
        <f t="shared" si="171"/>
        <v>62667.29</v>
      </c>
      <c r="P475" s="5">
        <f t="shared" si="172"/>
        <v>746.03916666666657</v>
      </c>
      <c r="Q475" s="5">
        <f t="shared" si="173"/>
        <v>8952.4699999999993</v>
      </c>
      <c r="R475" s="5">
        <f t="shared" si="174"/>
        <v>8952.4699999999993</v>
      </c>
      <c r="S475" s="5">
        <f t="shared" si="175"/>
        <v>35809.879999999997</v>
      </c>
      <c r="T475" s="5">
        <f t="shared" si="176"/>
        <v>44762.35</v>
      </c>
      <c r="U475" s="5">
        <f t="shared" si="177"/>
        <v>17904.940000000002</v>
      </c>
    </row>
    <row r="476" spans="2:21">
      <c r="B476" s="17">
        <v>486</v>
      </c>
      <c r="C476" t="s">
        <v>712</v>
      </c>
      <c r="E476">
        <v>118903</v>
      </c>
      <c r="G476">
        <v>2015</v>
      </c>
      <c r="H476">
        <v>1</v>
      </c>
      <c r="I476">
        <v>0</v>
      </c>
      <c r="J476" t="s">
        <v>30</v>
      </c>
      <c r="K476" s="45">
        <v>7</v>
      </c>
      <c r="L476">
        <f t="shared" si="169"/>
        <v>2022</v>
      </c>
      <c r="M476" s="15">
        <f t="shared" si="170"/>
        <v>2022.0833333333333</v>
      </c>
      <c r="N476" s="5">
        <v>27813.17</v>
      </c>
      <c r="O476" s="5">
        <f t="shared" si="171"/>
        <v>27813.17</v>
      </c>
      <c r="P476" s="5">
        <f t="shared" si="172"/>
        <v>331.10916666666668</v>
      </c>
      <c r="Q476" s="5">
        <f t="shared" si="173"/>
        <v>3973.3100000000004</v>
      </c>
      <c r="R476" s="5">
        <f t="shared" si="174"/>
        <v>3973.3100000000004</v>
      </c>
      <c r="S476" s="5">
        <f t="shared" si="175"/>
        <v>11919.93</v>
      </c>
      <c r="T476" s="5">
        <f t="shared" si="176"/>
        <v>15893.240000000002</v>
      </c>
      <c r="U476" s="5">
        <f t="shared" si="177"/>
        <v>11919.929999999997</v>
      </c>
    </row>
    <row r="477" spans="2:21">
      <c r="B477" s="17">
        <v>1440</v>
      </c>
      <c r="C477" t="s">
        <v>703</v>
      </c>
      <c r="E477">
        <v>123156</v>
      </c>
      <c r="G477">
        <v>2015</v>
      </c>
      <c r="H477">
        <v>4</v>
      </c>
      <c r="I477">
        <v>0</v>
      </c>
      <c r="J477" t="s">
        <v>30</v>
      </c>
      <c r="K477" s="45">
        <v>7</v>
      </c>
      <c r="L477">
        <f t="shared" si="169"/>
        <v>2022</v>
      </c>
      <c r="M477" s="15">
        <f t="shared" si="170"/>
        <v>2022.3333333333333</v>
      </c>
      <c r="N477" s="5">
        <v>65323.519999999997</v>
      </c>
      <c r="O477" s="5">
        <f t="shared" si="171"/>
        <v>65323.519999999997</v>
      </c>
      <c r="P477" s="5">
        <f t="shared" si="172"/>
        <v>777.66095238095238</v>
      </c>
      <c r="Q477" s="5">
        <f t="shared" si="173"/>
        <v>9331.9314285714281</v>
      </c>
      <c r="R477" s="5">
        <f t="shared" si="174"/>
        <v>9331.9314285714281</v>
      </c>
      <c r="S477" s="5">
        <f t="shared" si="175"/>
        <v>27995.794285714284</v>
      </c>
      <c r="T477" s="5">
        <f t="shared" si="176"/>
        <v>37327.725714285712</v>
      </c>
      <c r="U477" s="5">
        <f t="shared" si="177"/>
        <v>27995.794285714284</v>
      </c>
    </row>
    <row r="478" spans="2:21">
      <c r="B478" s="17">
        <v>624</v>
      </c>
      <c r="C478" t="s">
        <v>727</v>
      </c>
      <c r="E478">
        <v>122925</v>
      </c>
      <c r="G478">
        <v>2015</v>
      </c>
      <c r="H478">
        <v>5</v>
      </c>
      <c r="I478">
        <v>0</v>
      </c>
      <c r="J478" t="s">
        <v>30</v>
      </c>
      <c r="K478" s="45">
        <v>7</v>
      </c>
      <c r="L478">
        <f t="shared" si="169"/>
        <v>2022</v>
      </c>
      <c r="M478" s="15">
        <f t="shared" si="170"/>
        <v>2022.4166666666667</v>
      </c>
      <c r="N478" s="5">
        <v>32729.22</v>
      </c>
      <c r="O478" s="5">
        <f t="shared" si="171"/>
        <v>32729.22</v>
      </c>
      <c r="P478" s="5">
        <f t="shared" si="172"/>
        <v>389.63357142857143</v>
      </c>
      <c r="Q478" s="5">
        <f t="shared" si="173"/>
        <v>4675.6028571428569</v>
      </c>
      <c r="R478" s="5">
        <f t="shared" si="174"/>
        <v>4675.6028571428569</v>
      </c>
      <c r="S478" s="5">
        <f t="shared" si="175"/>
        <v>14026.80857142857</v>
      </c>
      <c r="T478" s="5">
        <f t="shared" si="176"/>
        <v>18702.411428571428</v>
      </c>
      <c r="U478" s="5">
        <f t="shared" si="177"/>
        <v>14026.808571428573</v>
      </c>
    </row>
    <row r="479" spans="2:21">
      <c r="B479" s="17">
        <v>624</v>
      </c>
      <c r="C479" t="s">
        <v>727</v>
      </c>
      <c r="E479">
        <v>123337</v>
      </c>
      <c r="G479">
        <v>2015</v>
      </c>
      <c r="H479">
        <v>5</v>
      </c>
      <c r="I479">
        <v>0</v>
      </c>
      <c r="J479" t="s">
        <v>30</v>
      </c>
      <c r="K479" s="45">
        <v>7</v>
      </c>
      <c r="L479">
        <f t="shared" ref="L479:L486" si="178">G479+K479</f>
        <v>2022</v>
      </c>
      <c r="M479" s="15">
        <f t="shared" si="170"/>
        <v>2022.4166666666667</v>
      </c>
      <c r="N479" s="5">
        <v>32729.22</v>
      </c>
      <c r="O479" s="5">
        <f t="shared" si="171"/>
        <v>32729.22</v>
      </c>
      <c r="P479" s="5">
        <f t="shared" si="172"/>
        <v>389.63357142857143</v>
      </c>
      <c r="Q479" s="5">
        <f t="shared" si="173"/>
        <v>4675.6028571428569</v>
      </c>
      <c r="R479" s="5">
        <f t="shared" si="174"/>
        <v>4675.6028571428569</v>
      </c>
      <c r="S479" s="5">
        <f t="shared" si="175"/>
        <v>14026.80857142857</v>
      </c>
      <c r="T479" s="5">
        <f t="shared" si="176"/>
        <v>18702.411428571428</v>
      </c>
      <c r="U479" s="5">
        <f t="shared" si="177"/>
        <v>14026.808571428573</v>
      </c>
    </row>
    <row r="480" spans="2:21">
      <c r="B480" s="17">
        <f>864*2</f>
        <v>1728</v>
      </c>
      <c r="C480" t="s">
        <v>703</v>
      </c>
      <c r="E480" t="s">
        <v>786</v>
      </c>
      <c r="G480">
        <v>2015</v>
      </c>
      <c r="H480">
        <v>7</v>
      </c>
      <c r="I480">
        <v>0</v>
      </c>
      <c r="J480" t="s">
        <v>30</v>
      </c>
      <c r="K480" s="45">
        <v>7</v>
      </c>
      <c r="L480">
        <f t="shared" si="178"/>
        <v>2022</v>
      </c>
      <c r="M480" s="15">
        <f t="shared" si="170"/>
        <v>2022.5833333333333</v>
      </c>
      <c r="N480" s="5">
        <f>41476.04+37601.28</f>
        <v>79077.320000000007</v>
      </c>
      <c r="O480" s="5">
        <f t="shared" si="171"/>
        <v>79077.320000000007</v>
      </c>
      <c r="P480" s="5">
        <f t="shared" si="172"/>
        <v>941.39666666666665</v>
      </c>
      <c r="Q480" s="5">
        <f t="shared" si="173"/>
        <v>11296.76</v>
      </c>
      <c r="R480" s="5">
        <f t="shared" si="174"/>
        <v>11296.76</v>
      </c>
      <c r="S480" s="5">
        <f t="shared" si="175"/>
        <v>33890.28</v>
      </c>
      <c r="T480" s="5">
        <f t="shared" si="176"/>
        <v>45187.040000000001</v>
      </c>
      <c r="U480" s="5">
        <f t="shared" si="177"/>
        <v>33890.280000000006</v>
      </c>
    </row>
    <row r="481" spans="2:21">
      <c r="B481" s="17">
        <v>624</v>
      </c>
      <c r="C481" t="s">
        <v>808</v>
      </c>
      <c r="E481">
        <v>128767</v>
      </c>
      <c r="G481">
        <v>2015</v>
      </c>
      <c r="H481">
        <v>5</v>
      </c>
      <c r="I481">
        <v>0</v>
      </c>
      <c r="J481" t="s">
        <v>30</v>
      </c>
      <c r="K481" s="45">
        <v>7</v>
      </c>
      <c r="L481">
        <f t="shared" si="178"/>
        <v>2022</v>
      </c>
      <c r="M481" s="15">
        <f t="shared" si="170"/>
        <v>2022.4166666666667</v>
      </c>
      <c r="N481" s="5">
        <v>31744.58</v>
      </c>
      <c r="O481" s="5">
        <f t="shared" si="171"/>
        <v>31744.58</v>
      </c>
      <c r="P481" s="5">
        <f t="shared" si="172"/>
        <v>377.91166666666669</v>
      </c>
      <c r="Q481" s="5">
        <f t="shared" si="173"/>
        <v>4534.9400000000005</v>
      </c>
      <c r="R481" s="5">
        <f t="shared" si="174"/>
        <v>4534.9400000000005</v>
      </c>
      <c r="S481" s="5">
        <f t="shared" si="175"/>
        <v>13604.820000000002</v>
      </c>
      <c r="T481" s="5">
        <f t="shared" si="176"/>
        <v>18139.760000000002</v>
      </c>
      <c r="U481" s="5">
        <f t="shared" si="177"/>
        <v>13604.82</v>
      </c>
    </row>
    <row r="482" spans="2:21">
      <c r="B482">
        <f>864*2</f>
        <v>1728</v>
      </c>
      <c r="C482" t="s">
        <v>814</v>
      </c>
      <c r="E482" t="s">
        <v>815</v>
      </c>
      <c r="G482">
        <v>2016</v>
      </c>
      <c r="H482">
        <v>1</v>
      </c>
      <c r="I482">
        <v>0</v>
      </c>
      <c r="J482" t="s">
        <v>30</v>
      </c>
      <c r="K482" s="45">
        <v>7</v>
      </c>
      <c r="L482">
        <f t="shared" si="178"/>
        <v>2023</v>
      </c>
      <c r="M482" s="15">
        <f t="shared" si="170"/>
        <v>2023.0833333333333</v>
      </c>
      <c r="N482" s="5">
        <f>37847.26*2</f>
        <v>75694.52</v>
      </c>
      <c r="O482" s="5">
        <f t="shared" si="171"/>
        <v>75694.52</v>
      </c>
      <c r="P482" s="5">
        <f t="shared" si="172"/>
        <v>901.12523809523816</v>
      </c>
      <c r="Q482" s="5">
        <f t="shared" si="173"/>
        <v>10813.502857142857</v>
      </c>
      <c r="R482" s="5">
        <f t="shared" si="174"/>
        <v>10813.502857142857</v>
      </c>
      <c r="S482" s="5">
        <f t="shared" si="175"/>
        <v>21627.005714285715</v>
      </c>
      <c r="T482" s="5">
        <f t="shared" si="176"/>
        <v>32440.508571428574</v>
      </c>
      <c r="U482" s="5">
        <f t="shared" si="177"/>
        <v>43254.01142857143</v>
      </c>
    </row>
    <row r="483" spans="2:21">
      <c r="B483">
        <v>580</v>
      </c>
      <c r="C483" t="s">
        <v>817</v>
      </c>
      <c r="E483">
        <v>129839</v>
      </c>
      <c r="G483">
        <v>2016</v>
      </c>
      <c r="H483">
        <v>1</v>
      </c>
      <c r="I483">
        <v>0</v>
      </c>
      <c r="J483" t="s">
        <v>30</v>
      </c>
      <c r="K483" s="45">
        <v>7</v>
      </c>
      <c r="L483">
        <f t="shared" si="178"/>
        <v>2023</v>
      </c>
      <c r="M483" s="15">
        <f t="shared" si="170"/>
        <v>2023.0833333333333</v>
      </c>
      <c r="N483" s="5">
        <v>20519.68</v>
      </c>
      <c r="O483" s="5">
        <f t="shared" si="171"/>
        <v>20519.68</v>
      </c>
      <c r="P483" s="5">
        <f t="shared" si="172"/>
        <v>244.28190476190477</v>
      </c>
      <c r="Q483" s="5">
        <f t="shared" si="173"/>
        <v>2931.3828571428571</v>
      </c>
      <c r="R483" s="5">
        <f t="shared" si="174"/>
        <v>2931.3828571428571</v>
      </c>
      <c r="S483" s="5">
        <f t="shared" si="175"/>
        <v>5862.7657142857142</v>
      </c>
      <c r="T483" s="5">
        <f t="shared" si="176"/>
        <v>8794.1485714285718</v>
      </c>
      <c r="U483" s="5">
        <f t="shared" si="177"/>
        <v>11725.531428571428</v>
      </c>
    </row>
    <row r="484" spans="2:21">
      <c r="B484">
        <v>864</v>
      </c>
      <c r="C484" t="s">
        <v>703</v>
      </c>
      <c r="E484">
        <v>130763</v>
      </c>
      <c r="G484">
        <v>2016</v>
      </c>
      <c r="H484">
        <v>2</v>
      </c>
      <c r="I484">
        <v>0</v>
      </c>
      <c r="J484" t="s">
        <v>30</v>
      </c>
      <c r="K484" s="45">
        <v>7</v>
      </c>
      <c r="L484">
        <f t="shared" si="178"/>
        <v>2023</v>
      </c>
      <c r="M484" s="15">
        <f t="shared" si="170"/>
        <v>2023.1666666666667</v>
      </c>
      <c r="N484" s="5">
        <v>36644.400000000001</v>
      </c>
      <c r="O484" s="5">
        <f t="shared" si="171"/>
        <v>36644.400000000001</v>
      </c>
      <c r="P484" s="5">
        <f t="shared" si="172"/>
        <v>436.24285714285719</v>
      </c>
      <c r="Q484" s="5">
        <f t="shared" si="173"/>
        <v>5234.9142857142861</v>
      </c>
      <c r="R484" s="5">
        <f t="shared" si="174"/>
        <v>5234.9142857142861</v>
      </c>
      <c r="S484" s="5">
        <f t="shared" si="175"/>
        <v>10469.828571428572</v>
      </c>
      <c r="T484" s="5">
        <f t="shared" si="176"/>
        <v>15704.742857142857</v>
      </c>
      <c r="U484" s="5">
        <f t="shared" si="177"/>
        <v>20939.657142857144</v>
      </c>
    </row>
    <row r="485" spans="2:21">
      <c r="B485">
        <v>504</v>
      </c>
      <c r="C485" t="s">
        <v>712</v>
      </c>
      <c r="E485">
        <v>132009</v>
      </c>
      <c r="G485">
        <v>2016</v>
      </c>
      <c r="H485">
        <v>3</v>
      </c>
      <c r="I485">
        <v>0</v>
      </c>
      <c r="J485" t="s">
        <v>30</v>
      </c>
      <c r="K485" s="45">
        <v>7</v>
      </c>
      <c r="L485">
        <f t="shared" si="178"/>
        <v>2023</v>
      </c>
      <c r="M485" s="15">
        <f t="shared" si="170"/>
        <v>2023.25</v>
      </c>
      <c r="N485" s="5">
        <v>25010.38</v>
      </c>
      <c r="O485" s="5">
        <f t="shared" si="171"/>
        <v>25010.38</v>
      </c>
      <c r="P485" s="5">
        <f t="shared" si="172"/>
        <v>297.74261904761903</v>
      </c>
      <c r="Q485" s="5">
        <f t="shared" si="173"/>
        <v>3572.9114285714286</v>
      </c>
      <c r="R485" s="5">
        <f t="shared" si="174"/>
        <v>3572.9114285714286</v>
      </c>
      <c r="S485" s="5">
        <f t="shared" si="175"/>
        <v>7145.8228571428572</v>
      </c>
      <c r="T485" s="5">
        <f t="shared" si="176"/>
        <v>10718.734285714287</v>
      </c>
      <c r="U485" s="5">
        <f t="shared" si="177"/>
        <v>14291.645714285714</v>
      </c>
    </row>
    <row r="486" spans="2:21">
      <c r="B486">
        <f>884+556</f>
        <v>1440</v>
      </c>
      <c r="C486" t="s">
        <v>703</v>
      </c>
      <c r="E486" t="s">
        <v>827</v>
      </c>
      <c r="G486">
        <v>2016</v>
      </c>
      <c r="H486">
        <v>3</v>
      </c>
      <c r="I486">
        <v>0</v>
      </c>
      <c r="J486" t="s">
        <v>30</v>
      </c>
      <c r="K486" s="45">
        <v>7</v>
      </c>
      <c r="L486">
        <f t="shared" si="178"/>
        <v>2023</v>
      </c>
      <c r="M486" s="15">
        <f t="shared" si="170"/>
        <v>2023.25</v>
      </c>
      <c r="N486" s="5">
        <f>39802+25010.16</f>
        <v>64812.160000000003</v>
      </c>
      <c r="O486" s="5">
        <f t="shared" si="171"/>
        <v>64812.160000000003</v>
      </c>
      <c r="P486" s="5">
        <f t="shared" si="172"/>
        <v>771.57333333333338</v>
      </c>
      <c r="Q486" s="5">
        <f t="shared" si="173"/>
        <v>9258.880000000001</v>
      </c>
      <c r="R486" s="5">
        <f t="shared" si="174"/>
        <v>9258.880000000001</v>
      </c>
      <c r="S486" s="5">
        <f t="shared" si="175"/>
        <v>18517.760000000002</v>
      </c>
      <c r="T486" s="5">
        <f t="shared" si="176"/>
        <v>27776.640000000003</v>
      </c>
      <c r="U486" s="5">
        <f t="shared" si="177"/>
        <v>37035.520000000004</v>
      </c>
    </row>
    <row r="487" spans="2:21">
      <c r="B487">
        <v>648</v>
      </c>
      <c r="C487" t="s">
        <v>703</v>
      </c>
      <c r="E487">
        <v>168667</v>
      </c>
      <c r="G487">
        <v>2016</v>
      </c>
      <c r="H487">
        <v>8</v>
      </c>
      <c r="I487">
        <v>0</v>
      </c>
      <c r="J487" t="s">
        <v>30</v>
      </c>
      <c r="K487" s="45">
        <v>7</v>
      </c>
      <c r="L487">
        <f t="shared" ref="L487:L513" si="179">G487+K487</f>
        <v>2023</v>
      </c>
      <c r="M487" s="15">
        <f t="shared" si="170"/>
        <v>2023.6666666666667</v>
      </c>
      <c r="N487" s="5">
        <v>29821.13</v>
      </c>
      <c r="O487" s="5">
        <f t="shared" si="171"/>
        <v>29821.13</v>
      </c>
      <c r="P487" s="5">
        <f t="shared" si="172"/>
        <v>355.0134523809524</v>
      </c>
      <c r="Q487" s="5">
        <f t="shared" si="173"/>
        <v>4260.1614285714286</v>
      </c>
      <c r="R487" s="5">
        <f t="shared" si="174"/>
        <v>4260.1614285714286</v>
      </c>
      <c r="S487" s="5">
        <f t="shared" si="175"/>
        <v>8520.3228571428572</v>
      </c>
      <c r="T487" s="5">
        <f t="shared" si="176"/>
        <v>12780.484285714287</v>
      </c>
      <c r="U487" s="5">
        <f t="shared" si="177"/>
        <v>17040.645714285714</v>
      </c>
    </row>
    <row r="488" spans="2:21">
      <c r="B488">
        <v>648</v>
      </c>
      <c r="C488" t="s">
        <v>703</v>
      </c>
      <c r="E488">
        <v>168668</v>
      </c>
      <c r="G488">
        <v>2016</v>
      </c>
      <c r="H488">
        <v>8</v>
      </c>
      <c r="I488">
        <v>0</v>
      </c>
      <c r="J488" t="s">
        <v>30</v>
      </c>
      <c r="K488" s="45">
        <v>7</v>
      </c>
      <c r="L488">
        <f t="shared" si="179"/>
        <v>2023</v>
      </c>
      <c r="M488" s="15">
        <f t="shared" si="170"/>
        <v>2023.6666666666667</v>
      </c>
      <c r="N488" s="5">
        <v>29821.13</v>
      </c>
      <c r="O488" s="5">
        <f t="shared" si="171"/>
        <v>29821.13</v>
      </c>
      <c r="P488" s="5">
        <f t="shared" si="172"/>
        <v>355.0134523809524</v>
      </c>
      <c r="Q488" s="5">
        <f t="shared" si="173"/>
        <v>4260.1614285714286</v>
      </c>
      <c r="R488" s="5">
        <f t="shared" si="174"/>
        <v>4260.1614285714286</v>
      </c>
      <c r="S488" s="5">
        <f t="shared" si="175"/>
        <v>8520.3228571428572</v>
      </c>
      <c r="T488" s="5">
        <f t="shared" si="176"/>
        <v>12780.484285714287</v>
      </c>
      <c r="U488" s="5">
        <f t="shared" si="177"/>
        <v>17040.645714285714</v>
      </c>
    </row>
    <row r="489" spans="2:21">
      <c r="B489">
        <v>486</v>
      </c>
      <c r="C489" t="s">
        <v>712</v>
      </c>
      <c r="E489">
        <v>168666</v>
      </c>
      <c r="G489">
        <v>2016</v>
      </c>
      <c r="H489">
        <v>9</v>
      </c>
      <c r="I489">
        <v>0</v>
      </c>
      <c r="J489" t="s">
        <v>30</v>
      </c>
      <c r="K489" s="45">
        <v>7</v>
      </c>
      <c r="L489">
        <f t="shared" si="179"/>
        <v>2023</v>
      </c>
      <c r="M489" s="15">
        <f t="shared" si="170"/>
        <v>2023.75</v>
      </c>
      <c r="N489" s="5">
        <v>25827.17</v>
      </c>
      <c r="O489" s="5">
        <f t="shared" si="171"/>
        <v>25827.17</v>
      </c>
      <c r="P489" s="5">
        <f t="shared" si="172"/>
        <v>307.46630952380951</v>
      </c>
      <c r="Q489" s="5">
        <f t="shared" si="173"/>
        <v>3689.5957142857142</v>
      </c>
      <c r="R489" s="5">
        <f t="shared" si="174"/>
        <v>3689.5957142857142</v>
      </c>
      <c r="S489" s="5">
        <f t="shared" si="175"/>
        <v>7379.1914285714283</v>
      </c>
      <c r="T489" s="5">
        <f t="shared" si="176"/>
        <v>11068.787142857142</v>
      </c>
      <c r="U489" s="5">
        <f t="shared" si="177"/>
        <v>14758.382857142857</v>
      </c>
    </row>
    <row r="490" spans="2:21">
      <c r="B490">
        <v>1080</v>
      </c>
      <c r="C490" t="s">
        <v>817</v>
      </c>
      <c r="E490">
        <v>169623</v>
      </c>
      <c r="G490">
        <v>2016</v>
      </c>
      <c r="H490">
        <v>10</v>
      </c>
      <c r="I490">
        <v>0</v>
      </c>
      <c r="J490" t="s">
        <v>30</v>
      </c>
      <c r="K490" s="45">
        <v>7</v>
      </c>
      <c r="L490">
        <f t="shared" si="179"/>
        <v>2023</v>
      </c>
      <c r="M490" s="15">
        <f t="shared" si="170"/>
        <v>2023.8333333333333</v>
      </c>
      <c r="N490" s="5">
        <v>39812.97</v>
      </c>
      <c r="O490" s="5">
        <f t="shared" si="171"/>
        <v>39812.97</v>
      </c>
      <c r="P490" s="5">
        <f t="shared" si="172"/>
        <v>473.9639285714286</v>
      </c>
      <c r="Q490" s="5">
        <f t="shared" si="173"/>
        <v>5687.5671428571432</v>
      </c>
      <c r="R490" s="5">
        <f t="shared" si="174"/>
        <v>5687.5671428571432</v>
      </c>
      <c r="S490" s="5">
        <f t="shared" si="175"/>
        <v>11375.134285714286</v>
      </c>
      <c r="T490" s="5">
        <f t="shared" si="176"/>
        <v>17062.701428571429</v>
      </c>
      <c r="U490" s="5">
        <f t="shared" si="177"/>
        <v>22750.268571428573</v>
      </c>
    </row>
    <row r="491" spans="2:21">
      <c r="B491">
        <v>1080</v>
      </c>
      <c r="C491" t="s">
        <v>817</v>
      </c>
      <c r="E491">
        <v>169622</v>
      </c>
      <c r="G491">
        <v>2016</v>
      </c>
      <c r="H491">
        <v>10</v>
      </c>
      <c r="I491">
        <v>0</v>
      </c>
      <c r="J491" t="s">
        <v>30</v>
      </c>
      <c r="K491" s="45">
        <v>7</v>
      </c>
      <c r="L491">
        <f t="shared" si="179"/>
        <v>2023</v>
      </c>
      <c r="M491" s="15">
        <f t="shared" si="170"/>
        <v>2023.8333333333333</v>
      </c>
      <c r="N491" s="5">
        <v>39812.97</v>
      </c>
      <c r="O491" s="5">
        <f t="shared" si="171"/>
        <v>39812.97</v>
      </c>
      <c r="P491" s="5">
        <f t="shared" si="172"/>
        <v>473.9639285714286</v>
      </c>
      <c r="Q491" s="5">
        <f t="shared" si="173"/>
        <v>5687.5671428571432</v>
      </c>
      <c r="R491" s="5">
        <f t="shared" si="174"/>
        <v>5687.5671428571432</v>
      </c>
      <c r="S491" s="5">
        <f t="shared" si="175"/>
        <v>11375.134285714286</v>
      </c>
      <c r="T491" s="5">
        <f t="shared" si="176"/>
        <v>17062.701428571429</v>
      </c>
      <c r="U491" s="5">
        <f t="shared" si="177"/>
        <v>22750.268571428573</v>
      </c>
    </row>
    <row r="492" spans="2:21">
      <c r="B492">
        <v>568</v>
      </c>
      <c r="C492" t="s">
        <v>703</v>
      </c>
      <c r="E492">
        <v>169621</v>
      </c>
      <c r="G492">
        <v>2016</v>
      </c>
      <c r="H492">
        <v>10</v>
      </c>
      <c r="I492">
        <v>0</v>
      </c>
      <c r="J492" t="s">
        <v>30</v>
      </c>
      <c r="K492" s="45">
        <v>7</v>
      </c>
      <c r="L492">
        <f t="shared" si="179"/>
        <v>2023</v>
      </c>
      <c r="M492" s="15">
        <f t="shared" si="170"/>
        <v>2023.8333333333333</v>
      </c>
      <c r="N492" s="5">
        <v>29848.33</v>
      </c>
      <c r="O492" s="5">
        <f t="shared" si="171"/>
        <v>29848.33</v>
      </c>
      <c r="P492" s="5">
        <f t="shared" si="172"/>
        <v>355.33726190476187</v>
      </c>
      <c r="Q492" s="5">
        <f t="shared" si="173"/>
        <v>4264.0471428571427</v>
      </c>
      <c r="R492" s="5">
        <f t="shared" si="174"/>
        <v>4264.0471428571427</v>
      </c>
      <c r="S492" s="5">
        <f t="shared" si="175"/>
        <v>8528.0942857142854</v>
      </c>
      <c r="T492" s="5">
        <f t="shared" si="176"/>
        <v>12792.141428571427</v>
      </c>
      <c r="U492" s="5">
        <f t="shared" si="177"/>
        <v>17056.188571428575</v>
      </c>
    </row>
    <row r="493" spans="2:21">
      <c r="B493">
        <v>648</v>
      </c>
      <c r="C493" t="s">
        <v>703</v>
      </c>
      <c r="E493">
        <v>169574</v>
      </c>
      <c r="G493">
        <v>2016</v>
      </c>
      <c r="H493">
        <v>10</v>
      </c>
      <c r="I493">
        <v>0</v>
      </c>
      <c r="J493" t="s">
        <v>30</v>
      </c>
      <c r="K493" s="45">
        <v>7</v>
      </c>
      <c r="L493">
        <f t="shared" si="179"/>
        <v>2023</v>
      </c>
      <c r="M493" s="15">
        <f t="shared" si="170"/>
        <v>2023.8333333333333</v>
      </c>
      <c r="N493" s="5">
        <v>29848.33</v>
      </c>
      <c r="O493" s="5">
        <f t="shared" si="171"/>
        <v>29848.33</v>
      </c>
      <c r="P493" s="5">
        <f t="shared" si="172"/>
        <v>355.33726190476187</v>
      </c>
      <c r="Q493" s="5">
        <f t="shared" si="173"/>
        <v>4264.0471428571427</v>
      </c>
      <c r="R493" s="5">
        <f t="shared" si="174"/>
        <v>4264.0471428571427</v>
      </c>
      <c r="S493" s="5">
        <f t="shared" si="175"/>
        <v>8528.0942857142854</v>
      </c>
      <c r="T493" s="5">
        <f t="shared" si="176"/>
        <v>12792.141428571427</v>
      </c>
      <c r="U493" s="5">
        <f t="shared" si="177"/>
        <v>17056.188571428575</v>
      </c>
    </row>
    <row r="494" spans="2:21">
      <c r="B494">
        <v>43</v>
      </c>
      <c r="C494" t="s">
        <v>703</v>
      </c>
      <c r="E494">
        <v>170191</v>
      </c>
      <c r="G494">
        <v>2016</v>
      </c>
      <c r="H494">
        <v>10</v>
      </c>
      <c r="I494">
        <v>0</v>
      </c>
      <c r="J494" t="s">
        <v>30</v>
      </c>
      <c r="K494" s="45">
        <v>7</v>
      </c>
      <c r="L494">
        <f t="shared" si="179"/>
        <v>2023</v>
      </c>
      <c r="M494" s="15">
        <f t="shared" si="170"/>
        <v>2023.8333333333333</v>
      </c>
      <c r="N494" s="5">
        <v>3669</v>
      </c>
      <c r="O494" s="5">
        <f t="shared" si="171"/>
        <v>3669</v>
      </c>
      <c r="P494" s="5">
        <f t="shared" si="172"/>
        <v>43.678571428571423</v>
      </c>
      <c r="Q494" s="5">
        <f t="shared" si="173"/>
        <v>524.14285714285711</v>
      </c>
      <c r="R494" s="5">
        <f t="shared" si="174"/>
        <v>524.14285714285711</v>
      </c>
      <c r="S494" s="5">
        <f t="shared" si="175"/>
        <v>1048.2857142857142</v>
      </c>
      <c r="T494" s="5">
        <f t="shared" si="176"/>
        <v>1572.4285714285713</v>
      </c>
      <c r="U494" s="5">
        <f t="shared" si="177"/>
        <v>2096.5714285714284</v>
      </c>
    </row>
    <row r="495" spans="2:21">
      <c r="B495">
        <v>504</v>
      </c>
      <c r="C495" t="s">
        <v>712</v>
      </c>
      <c r="E495">
        <v>170164</v>
      </c>
      <c r="G495">
        <v>2016</v>
      </c>
      <c r="H495">
        <v>11</v>
      </c>
      <c r="I495">
        <v>0</v>
      </c>
      <c r="J495" t="s">
        <v>30</v>
      </c>
      <c r="K495" s="45">
        <v>7</v>
      </c>
      <c r="L495">
        <f t="shared" si="179"/>
        <v>2023</v>
      </c>
      <c r="M495" s="15">
        <f t="shared" si="170"/>
        <v>2023.9166666666667</v>
      </c>
      <c r="N495" s="5">
        <v>26710.19</v>
      </c>
      <c r="O495" s="5">
        <f t="shared" si="171"/>
        <v>26710.19</v>
      </c>
      <c r="P495" s="5">
        <f t="shared" si="172"/>
        <v>317.97845238095238</v>
      </c>
      <c r="Q495" s="5">
        <f t="shared" si="173"/>
        <v>3815.7414285714285</v>
      </c>
      <c r="R495" s="5">
        <f t="shared" si="174"/>
        <v>3815.7414285714285</v>
      </c>
      <c r="S495" s="5">
        <f t="shared" si="175"/>
        <v>7631.482857142857</v>
      </c>
      <c r="T495" s="5">
        <f t="shared" si="176"/>
        <v>11447.224285714285</v>
      </c>
      <c r="U495" s="5">
        <f t="shared" si="177"/>
        <v>15262.965714285714</v>
      </c>
    </row>
    <row r="496" spans="2:21">
      <c r="B496">
        <v>3</v>
      </c>
      <c r="C496" t="s">
        <v>703</v>
      </c>
      <c r="E496">
        <v>170192</v>
      </c>
      <c r="G496">
        <v>2016</v>
      </c>
      <c r="H496">
        <v>11</v>
      </c>
      <c r="I496">
        <v>0</v>
      </c>
      <c r="J496" t="s">
        <v>30</v>
      </c>
      <c r="K496" s="45">
        <v>7</v>
      </c>
      <c r="L496">
        <f t="shared" si="179"/>
        <v>2023</v>
      </c>
      <c r="M496" s="15">
        <f t="shared" si="170"/>
        <v>2023.9166666666667</v>
      </c>
      <c r="N496" s="5">
        <v>96.85</v>
      </c>
      <c r="O496" s="5">
        <f t="shared" si="171"/>
        <v>96.85</v>
      </c>
      <c r="P496" s="5">
        <f t="shared" si="172"/>
        <v>1.1529761904761904</v>
      </c>
      <c r="Q496" s="5">
        <f t="shared" si="173"/>
        <v>13.835714285714285</v>
      </c>
      <c r="R496" s="5">
        <f t="shared" si="174"/>
        <v>13.835714285714285</v>
      </c>
      <c r="S496" s="5">
        <f t="shared" si="175"/>
        <v>27.671428571428571</v>
      </c>
      <c r="T496" s="5">
        <f t="shared" si="176"/>
        <v>41.507142857142853</v>
      </c>
      <c r="U496" s="5">
        <f t="shared" si="177"/>
        <v>55.342857142857142</v>
      </c>
    </row>
    <row r="497" spans="2:21">
      <c r="B497">
        <v>750</v>
      </c>
      <c r="C497" t="s">
        <v>817</v>
      </c>
      <c r="E497">
        <v>171563</v>
      </c>
      <c r="G497">
        <v>2016</v>
      </c>
      <c r="H497">
        <v>12</v>
      </c>
      <c r="I497">
        <v>0</v>
      </c>
      <c r="J497" t="s">
        <v>30</v>
      </c>
      <c r="K497" s="45">
        <v>7</v>
      </c>
      <c r="L497">
        <f t="shared" si="179"/>
        <v>2023</v>
      </c>
      <c r="M497" s="15">
        <f t="shared" si="170"/>
        <v>2024</v>
      </c>
      <c r="N497" s="5">
        <v>29778.560000000001</v>
      </c>
      <c r="O497" s="5">
        <f t="shared" si="171"/>
        <v>29778.560000000001</v>
      </c>
      <c r="P497" s="5">
        <f t="shared" si="172"/>
        <v>354.50666666666666</v>
      </c>
      <c r="Q497" s="5">
        <f t="shared" si="173"/>
        <v>4254.08</v>
      </c>
      <c r="R497" s="5">
        <f t="shared" si="174"/>
        <v>4254.08</v>
      </c>
      <c r="S497" s="5">
        <f t="shared" si="175"/>
        <v>8508.16</v>
      </c>
      <c r="T497" s="5">
        <f t="shared" si="176"/>
        <v>12762.24</v>
      </c>
      <c r="U497" s="5">
        <f t="shared" si="177"/>
        <v>17016.32</v>
      </c>
    </row>
    <row r="498" spans="2:21">
      <c r="B498">
        <v>648</v>
      </c>
      <c r="C498" t="s">
        <v>703</v>
      </c>
      <c r="E498">
        <v>171566</v>
      </c>
      <c r="G498">
        <v>2016</v>
      </c>
      <c r="H498">
        <v>12</v>
      </c>
      <c r="I498">
        <v>0</v>
      </c>
      <c r="J498" t="s">
        <v>30</v>
      </c>
      <c r="K498" s="45">
        <v>7</v>
      </c>
      <c r="L498">
        <f t="shared" si="179"/>
        <v>2023</v>
      </c>
      <c r="M498" s="15">
        <f t="shared" si="170"/>
        <v>2024</v>
      </c>
      <c r="N498" s="5">
        <v>31283.66</v>
      </c>
      <c r="O498" s="5">
        <f t="shared" si="171"/>
        <v>31283.66</v>
      </c>
      <c r="P498" s="5">
        <f t="shared" si="172"/>
        <v>372.42452380952381</v>
      </c>
      <c r="Q498" s="5">
        <f t="shared" si="173"/>
        <v>4469.0942857142854</v>
      </c>
      <c r="R498" s="5">
        <f t="shared" si="174"/>
        <v>4469.0942857142854</v>
      </c>
      <c r="S498" s="5">
        <f t="shared" si="175"/>
        <v>8938.1885714285709</v>
      </c>
      <c r="T498" s="5">
        <f t="shared" si="176"/>
        <v>13407.282857142856</v>
      </c>
      <c r="U498" s="5">
        <f t="shared" si="177"/>
        <v>17876.377142857142</v>
      </c>
    </row>
    <row r="499" spans="2:21">
      <c r="B499">
        <v>102</v>
      </c>
      <c r="C499" t="s">
        <v>703</v>
      </c>
      <c r="E499">
        <v>172665</v>
      </c>
      <c r="G499">
        <v>2017</v>
      </c>
      <c r="H499">
        <v>1</v>
      </c>
      <c r="I499">
        <v>0</v>
      </c>
      <c r="J499" t="s">
        <v>30</v>
      </c>
      <c r="K499" s="45">
        <v>7</v>
      </c>
      <c r="L499">
        <f t="shared" si="179"/>
        <v>2024</v>
      </c>
      <c r="M499" s="15">
        <f t="shared" si="170"/>
        <v>2024.0833333333333</v>
      </c>
      <c r="N499" s="5">
        <v>4419.07</v>
      </c>
      <c r="O499" s="5">
        <f t="shared" si="171"/>
        <v>4419.07</v>
      </c>
      <c r="P499" s="5">
        <f t="shared" si="172"/>
        <v>52.607976190476187</v>
      </c>
      <c r="Q499" s="5">
        <f t="shared" si="173"/>
        <v>631.29571428571421</v>
      </c>
      <c r="R499" s="5">
        <f t="shared" si="174"/>
        <v>631.29571428571421</v>
      </c>
      <c r="S499" s="5">
        <f t="shared" si="175"/>
        <v>631.29571428571421</v>
      </c>
      <c r="T499" s="5">
        <f t="shared" si="176"/>
        <v>1262.5914285714284</v>
      </c>
      <c r="U499" s="5">
        <f t="shared" si="177"/>
        <v>3156.4785714285713</v>
      </c>
    </row>
    <row r="500" spans="2:21">
      <c r="B500">
        <v>648</v>
      </c>
      <c r="C500" t="s">
        <v>703</v>
      </c>
      <c r="E500">
        <v>177526</v>
      </c>
      <c r="G500">
        <v>2017</v>
      </c>
      <c r="H500">
        <v>2</v>
      </c>
      <c r="I500">
        <v>0</v>
      </c>
      <c r="J500" t="s">
        <v>30</v>
      </c>
      <c r="K500" s="45">
        <v>7</v>
      </c>
      <c r="L500">
        <f t="shared" si="179"/>
        <v>2024</v>
      </c>
      <c r="M500" s="15">
        <f t="shared" si="170"/>
        <v>2024.1666666666667</v>
      </c>
      <c r="N500" s="5">
        <v>30738.18</v>
      </c>
      <c r="O500" s="5">
        <f t="shared" si="171"/>
        <v>30738.18</v>
      </c>
      <c r="P500" s="5">
        <f t="shared" si="172"/>
        <v>365.93071428571426</v>
      </c>
      <c r="Q500" s="5">
        <f t="shared" si="173"/>
        <v>4391.1685714285713</v>
      </c>
      <c r="R500" s="5">
        <f t="shared" si="174"/>
        <v>4391.1685714285713</v>
      </c>
      <c r="S500" s="5">
        <f t="shared" si="175"/>
        <v>4391.1685714285713</v>
      </c>
      <c r="T500" s="5">
        <f t="shared" si="176"/>
        <v>8782.3371428571427</v>
      </c>
      <c r="U500" s="5">
        <f t="shared" si="177"/>
        <v>21955.842857142859</v>
      </c>
    </row>
    <row r="501" spans="2:21">
      <c r="B501">
        <v>648</v>
      </c>
      <c r="C501" t="s">
        <v>703</v>
      </c>
      <c r="E501">
        <v>176741</v>
      </c>
      <c r="G501">
        <v>2017</v>
      </c>
      <c r="H501">
        <v>2</v>
      </c>
      <c r="I501">
        <v>0</v>
      </c>
      <c r="J501" t="s">
        <v>30</v>
      </c>
      <c r="K501" s="45">
        <v>7</v>
      </c>
      <c r="L501">
        <f t="shared" si="179"/>
        <v>2024</v>
      </c>
      <c r="M501" s="15">
        <f t="shared" si="170"/>
        <v>2024.1666666666667</v>
      </c>
      <c r="N501" s="5">
        <v>30738.18</v>
      </c>
      <c r="O501" s="5">
        <f t="shared" ref="O501:O513" si="180">N501-N501*I501</f>
        <v>30738.18</v>
      </c>
      <c r="P501" s="5">
        <f t="shared" ref="P501:P513" si="181">O501/K501/12</f>
        <v>365.93071428571426</v>
      </c>
      <c r="Q501" s="5">
        <f t="shared" si="173"/>
        <v>4391.1685714285713</v>
      </c>
      <c r="R501" s="5">
        <f t="shared" si="174"/>
        <v>4391.1685714285713</v>
      </c>
      <c r="S501" s="5">
        <f t="shared" si="175"/>
        <v>4391.1685714285713</v>
      </c>
      <c r="T501" s="5">
        <f t="shared" si="176"/>
        <v>8782.3371428571427</v>
      </c>
      <c r="U501" s="5">
        <f t="shared" si="177"/>
        <v>21955.842857142859</v>
      </c>
    </row>
    <row r="502" spans="2:21">
      <c r="B502">
        <v>1080</v>
      </c>
      <c r="C502" t="s">
        <v>817</v>
      </c>
      <c r="E502">
        <v>177850</v>
      </c>
      <c r="G502">
        <v>2017</v>
      </c>
      <c r="H502">
        <v>2</v>
      </c>
      <c r="I502">
        <v>0</v>
      </c>
      <c r="J502" t="s">
        <v>30</v>
      </c>
      <c r="K502" s="45">
        <v>7</v>
      </c>
      <c r="L502">
        <f t="shared" si="179"/>
        <v>2024</v>
      </c>
      <c r="M502" s="15">
        <f t="shared" si="170"/>
        <v>2024.1666666666667</v>
      </c>
      <c r="N502" s="5">
        <v>40131.97</v>
      </c>
      <c r="O502" s="5">
        <f t="shared" si="180"/>
        <v>40131.97</v>
      </c>
      <c r="P502" s="5">
        <f t="shared" si="181"/>
        <v>477.76154761904763</v>
      </c>
      <c r="Q502" s="5">
        <f t="shared" si="173"/>
        <v>5733.1385714285716</v>
      </c>
      <c r="R502" s="5">
        <f t="shared" si="174"/>
        <v>5733.1385714285716</v>
      </c>
      <c r="S502" s="5">
        <f t="shared" si="175"/>
        <v>5733.1385714285716</v>
      </c>
      <c r="T502" s="5">
        <f t="shared" si="176"/>
        <v>11466.277142857143</v>
      </c>
      <c r="U502" s="5">
        <f t="shared" si="177"/>
        <v>28665.692857142858</v>
      </c>
    </row>
    <row r="503" spans="2:21">
      <c r="B503">
        <v>1080</v>
      </c>
      <c r="C503" t="s">
        <v>817</v>
      </c>
      <c r="E503">
        <v>177849</v>
      </c>
      <c r="G503">
        <v>2017</v>
      </c>
      <c r="H503">
        <v>2</v>
      </c>
      <c r="I503">
        <v>0</v>
      </c>
      <c r="J503" t="s">
        <v>30</v>
      </c>
      <c r="K503" s="45">
        <v>7</v>
      </c>
      <c r="L503">
        <f t="shared" si="179"/>
        <v>2024</v>
      </c>
      <c r="M503" s="15">
        <f t="shared" si="170"/>
        <v>2024.1666666666667</v>
      </c>
      <c r="N503" s="5">
        <v>40131.97</v>
      </c>
      <c r="O503" s="5">
        <f t="shared" si="180"/>
        <v>40131.97</v>
      </c>
      <c r="P503" s="5">
        <f t="shared" si="181"/>
        <v>477.76154761904763</v>
      </c>
      <c r="Q503" s="5">
        <f t="shared" si="173"/>
        <v>5733.1385714285716</v>
      </c>
      <c r="R503" s="5">
        <f t="shared" si="174"/>
        <v>5733.1385714285716</v>
      </c>
      <c r="S503" s="5">
        <f t="shared" si="175"/>
        <v>5733.1385714285716</v>
      </c>
      <c r="T503" s="5">
        <f t="shared" si="176"/>
        <v>11466.277142857143</v>
      </c>
      <c r="U503" s="5">
        <f t="shared" si="177"/>
        <v>28665.692857142858</v>
      </c>
    </row>
    <row r="504" spans="2:21">
      <c r="B504">
        <v>702</v>
      </c>
      <c r="C504" t="s">
        <v>712</v>
      </c>
      <c r="E504">
        <v>181674</v>
      </c>
      <c r="G504">
        <v>2017</v>
      </c>
      <c r="H504">
        <v>5</v>
      </c>
      <c r="I504">
        <v>0</v>
      </c>
      <c r="J504" t="s">
        <v>30</v>
      </c>
      <c r="K504" s="45">
        <v>7</v>
      </c>
      <c r="L504">
        <f t="shared" si="179"/>
        <v>2024</v>
      </c>
      <c r="M504" s="15">
        <f t="shared" si="170"/>
        <v>2024.4166666666667</v>
      </c>
      <c r="N504" s="5">
        <v>34834.79</v>
      </c>
      <c r="O504" s="5">
        <f t="shared" si="180"/>
        <v>34834.79</v>
      </c>
      <c r="P504" s="5">
        <f t="shared" si="181"/>
        <v>414.69988095238097</v>
      </c>
      <c r="Q504" s="5">
        <f t="shared" si="173"/>
        <v>4976.3985714285718</v>
      </c>
      <c r="R504" s="5">
        <f t="shared" si="174"/>
        <v>4976.3985714285718</v>
      </c>
      <c r="S504" s="5">
        <f t="shared" si="175"/>
        <v>4976.3985714285718</v>
      </c>
      <c r="T504" s="5">
        <f t="shared" si="176"/>
        <v>9952.7971428571436</v>
      </c>
      <c r="U504" s="5">
        <f t="shared" si="177"/>
        <v>24881.992857142857</v>
      </c>
    </row>
    <row r="505" spans="2:21">
      <c r="B505">
        <v>702</v>
      </c>
      <c r="C505" t="s">
        <v>712</v>
      </c>
      <c r="E505">
        <v>183933</v>
      </c>
      <c r="G505">
        <v>2017</v>
      </c>
      <c r="H505">
        <v>6</v>
      </c>
      <c r="I505">
        <v>0</v>
      </c>
      <c r="J505" t="s">
        <v>30</v>
      </c>
      <c r="K505" s="45">
        <v>7</v>
      </c>
      <c r="L505">
        <f t="shared" si="179"/>
        <v>2024</v>
      </c>
      <c r="M505" s="15">
        <f t="shared" si="170"/>
        <v>2024.5</v>
      </c>
      <c r="N505" s="5">
        <v>38623.17</v>
      </c>
      <c r="O505" s="5">
        <f t="shared" si="180"/>
        <v>38623.17</v>
      </c>
      <c r="P505" s="5">
        <f t="shared" si="181"/>
        <v>459.79964285714283</v>
      </c>
      <c r="Q505" s="5">
        <f t="shared" si="173"/>
        <v>5517.5957142857142</v>
      </c>
      <c r="R505" s="5">
        <f t="shared" si="174"/>
        <v>5517.5957142857142</v>
      </c>
      <c r="S505" s="5">
        <f t="shared" si="175"/>
        <v>5517.5957142857142</v>
      </c>
      <c r="T505" s="5">
        <f t="shared" si="176"/>
        <v>11035.191428571428</v>
      </c>
      <c r="U505" s="5">
        <f t="shared" si="177"/>
        <v>27587.978571428568</v>
      </c>
    </row>
    <row r="506" spans="2:21">
      <c r="B506">
        <v>792</v>
      </c>
      <c r="C506" t="s">
        <v>703</v>
      </c>
      <c r="E506">
        <v>185322</v>
      </c>
      <c r="G506">
        <v>2017</v>
      </c>
      <c r="H506">
        <v>7</v>
      </c>
      <c r="I506">
        <v>0</v>
      </c>
      <c r="J506" t="s">
        <v>30</v>
      </c>
      <c r="K506" s="45">
        <v>7</v>
      </c>
      <c r="L506">
        <f t="shared" si="179"/>
        <v>2024</v>
      </c>
      <c r="M506" s="15">
        <f t="shared" si="170"/>
        <v>2024.5833333333333</v>
      </c>
      <c r="N506" s="5">
        <v>36039.269999999997</v>
      </c>
      <c r="O506" s="5">
        <f t="shared" si="180"/>
        <v>36039.269999999997</v>
      </c>
      <c r="P506" s="5">
        <f t="shared" si="181"/>
        <v>429.03892857142858</v>
      </c>
      <c r="Q506" s="5">
        <f t="shared" si="173"/>
        <v>5148.4671428571428</v>
      </c>
      <c r="R506" s="5">
        <f t="shared" si="174"/>
        <v>5148.4671428571428</v>
      </c>
      <c r="S506" s="5">
        <f t="shared" si="175"/>
        <v>5148.4671428571428</v>
      </c>
      <c r="T506" s="5">
        <f t="shared" si="176"/>
        <v>10296.934285714286</v>
      </c>
      <c r="U506" s="5">
        <f t="shared" si="177"/>
        <v>25742.335714285713</v>
      </c>
    </row>
    <row r="507" spans="2:21">
      <c r="B507">
        <v>864</v>
      </c>
      <c r="C507" t="s">
        <v>703</v>
      </c>
      <c r="E507">
        <v>190184</v>
      </c>
      <c r="G507">
        <v>2017</v>
      </c>
      <c r="H507">
        <v>12</v>
      </c>
      <c r="I507">
        <v>0</v>
      </c>
      <c r="J507" t="s">
        <v>30</v>
      </c>
      <c r="K507" s="45">
        <v>7</v>
      </c>
      <c r="L507">
        <f t="shared" si="179"/>
        <v>2024</v>
      </c>
      <c r="M507" s="15">
        <f t="shared" si="170"/>
        <v>2025</v>
      </c>
      <c r="N507" s="5">
        <v>39522.050000000003</v>
      </c>
      <c r="O507" s="5">
        <f t="shared" si="180"/>
        <v>39522.050000000003</v>
      </c>
      <c r="P507" s="5">
        <f t="shared" si="181"/>
        <v>470.50059523809529</v>
      </c>
      <c r="Q507" s="5">
        <f t="shared" si="173"/>
        <v>5646.0071428571437</v>
      </c>
      <c r="R507" s="5">
        <f t="shared" si="174"/>
        <v>5646.0071428571437</v>
      </c>
      <c r="S507" s="5">
        <f t="shared" si="175"/>
        <v>5646.0071428571437</v>
      </c>
      <c r="T507" s="5">
        <f t="shared" si="176"/>
        <v>11292.014285714287</v>
      </c>
      <c r="U507" s="5">
        <f t="shared" si="177"/>
        <v>28230.035714285717</v>
      </c>
    </row>
    <row r="508" spans="2:21">
      <c r="B508">
        <v>768</v>
      </c>
      <c r="C508" t="s">
        <v>703</v>
      </c>
      <c r="E508">
        <v>185870</v>
      </c>
      <c r="G508">
        <v>2017</v>
      </c>
      <c r="H508">
        <v>8</v>
      </c>
      <c r="I508">
        <v>0</v>
      </c>
      <c r="J508" t="s">
        <v>30</v>
      </c>
      <c r="K508" s="45">
        <v>7</v>
      </c>
      <c r="L508">
        <f t="shared" si="179"/>
        <v>2024</v>
      </c>
      <c r="M508" s="15">
        <f t="shared" si="170"/>
        <v>2024.6666666666667</v>
      </c>
      <c r="N508" s="5">
        <v>34622.35</v>
      </c>
      <c r="O508" s="5">
        <f t="shared" si="180"/>
        <v>34622.35</v>
      </c>
      <c r="P508" s="5">
        <f t="shared" si="181"/>
        <v>412.17083333333335</v>
      </c>
      <c r="Q508" s="5">
        <f t="shared" si="173"/>
        <v>4946.05</v>
      </c>
      <c r="R508" s="5">
        <f t="shared" si="174"/>
        <v>4946.05</v>
      </c>
      <c r="S508" s="5">
        <f t="shared" si="175"/>
        <v>4946.05</v>
      </c>
      <c r="T508" s="5">
        <f t="shared" si="176"/>
        <v>9892.1</v>
      </c>
      <c r="U508" s="5">
        <f t="shared" si="177"/>
        <v>24730.25</v>
      </c>
    </row>
    <row r="509" spans="2:21">
      <c r="B509">
        <v>864</v>
      </c>
      <c r="C509" t="s">
        <v>923</v>
      </c>
      <c r="E509">
        <v>192486</v>
      </c>
      <c r="G509">
        <v>2018</v>
      </c>
      <c r="H509">
        <v>1</v>
      </c>
      <c r="I509">
        <v>0</v>
      </c>
      <c r="J509" t="s">
        <v>30</v>
      </c>
      <c r="K509" s="45">
        <v>7</v>
      </c>
      <c r="L509">
        <f t="shared" si="179"/>
        <v>2025</v>
      </c>
      <c r="M509" s="15">
        <f t="shared" si="170"/>
        <v>2025.0833333333333</v>
      </c>
      <c r="N509" s="5">
        <v>39303.46</v>
      </c>
      <c r="O509" s="5">
        <f t="shared" si="180"/>
        <v>39303.46</v>
      </c>
      <c r="P509" s="5">
        <f t="shared" si="181"/>
        <v>467.89833333333331</v>
      </c>
      <c r="Q509" s="5">
        <f t="shared" si="173"/>
        <v>5614.78</v>
      </c>
      <c r="R509" s="5">
        <f t="shared" si="174"/>
        <v>5614.78</v>
      </c>
      <c r="S509" s="5">
        <f t="shared" si="175"/>
        <v>0</v>
      </c>
      <c r="T509" s="5">
        <f t="shared" si="176"/>
        <v>5614.78</v>
      </c>
      <c r="U509" s="5">
        <f t="shared" si="177"/>
        <v>33688.68</v>
      </c>
    </row>
    <row r="510" spans="2:21">
      <c r="B510">
        <v>624</v>
      </c>
      <c r="C510" t="s">
        <v>924</v>
      </c>
      <c r="E510">
        <v>193148</v>
      </c>
      <c r="G510">
        <v>2018</v>
      </c>
      <c r="H510">
        <v>2</v>
      </c>
      <c r="I510">
        <v>0</v>
      </c>
      <c r="J510" t="s">
        <v>30</v>
      </c>
      <c r="K510" s="45">
        <v>7</v>
      </c>
      <c r="L510">
        <f t="shared" si="179"/>
        <v>2025</v>
      </c>
      <c r="M510" s="15">
        <f t="shared" si="170"/>
        <v>2025.1666666666667</v>
      </c>
      <c r="N510" s="5">
        <v>32824.15</v>
      </c>
      <c r="O510" s="5">
        <f t="shared" si="180"/>
        <v>32824.15</v>
      </c>
      <c r="P510" s="5">
        <f t="shared" si="181"/>
        <v>390.7636904761905</v>
      </c>
      <c r="Q510" s="5">
        <f t="shared" si="173"/>
        <v>4689.1642857142861</v>
      </c>
      <c r="R510" s="5">
        <f t="shared" si="174"/>
        <v>4689.1642857142861</v>
      </c>
      <c r="S510" s="5">
        <f t="shared" si="175"/>
        <v>0</v>
      </c>
      <c r="T510" s="5">
        <f t="shared" si="176"/>
        <v>4689.1642857142861</v>
      </c>
      <c r="U510" s="5">
        <f t="shared" si="177"/>
        <v>28134.985714285714</v>
      </c>
    </row>
    <row r="511" spans="2:21">
      <c r="B511">
        <v>864</v>
      </c>
      <c r="C511" t="s">
        <v>930</v>
      </c>
      <c r="E511">
        <v>197566</v>
      </c>
      <c r="G511">
        <v>2018</v>
      </c>
      <c r="H511">
        <v>5</v>
      </c>
      <c r="I511">
        <v>0</v>
      </c>
      <c r="J511" t="s">
        <v>30</v>
      </c>
      <c r="K511" s="45">
        <v>7</v>
      </c>
      <c r="L511">
        <f t="shared" si="179"/>
        <v>2025</v>
      </c>
      <c r="M511" s="15">
        <f t="shared" si="170"/>
        <v>2025.4166666666667</v>
      </c>
      <c r="N511" s="5">
        <v>42474.5</v>
      </c>
      <c r="O511" s="5">
        <f t="shared" si="180"/>
        <v>42474.5</v>
      </c>
      <c r="P511" s="5">
        <f t="shared" si="181"/>
        <v>505.64880952380958</v>
      </c>
      <c r="Q511" s="5">
        <f t="shared" si="173"/>
        <v>6067.7857142857147</v>
      </c>
      <c r="R511" s="5">
        <f t="shared" si="174"/>
        <v>6067.7857142857147</v>
      </c>
      <c r="S511" s="5">
        <f t="shared" si="175"/>
        <v>0</v>
      </c>
      <c r="T511" s="5">
        <f t="shared" si="176"/>
        <v>6067.7857142857147</v>
      </c>
      <c r="U511" s="5">
        <f t="shared" si="177"/>
        <v>36406.714285714283</v>
      </c>
    </row>
    <row r="512" spans="2:21">
      <c r="B512">
        <v>864</v>
      </c>
      <c r="C512" t="s">
        <v>930</v>
      </c>
      <c r="E512">
        <v>198376</v>
      </c>
      <c r="G512">
        <v>2018</v>
      </c>
      <c r="H512">
        <v>5</v>
      </c>
      <c r="I512">
        <v>0</v>
      </c>
      <c r="J512" t="s">
        <v>30</v>
      </c>
      <c r="K512" s="45">
        <v>7</v>
      </c>
      <c r="L512">
        <f t="shared" si="179"/>
        <v>2025</v>
      </c>
      <c r="M512" s="15">
        <f t="shared" si="170"/>
        <v>2025.4166666666667</v>
      </c>
      <c r="N512" s="5">
        <v>37301.9</v>
      </c>
      <c r="O512" s="5">
        <f t="shared" si="180"/>
        <v>37301.9</v>
      </c>
      <c r="P512" s="5">
        <f t="shared" si="181"/>
        <v>444.07023809523815</v>
      </c>
      <c r="Q512" s="5">
        <f t="shared" si="173"/>
        <v>5328.8428571428576</v>
      </c>
      <c r="R512" s="5">
        <f t="shared" si="174"/>
        <v>5328.8428571428576</v>
      </c>
      <c r="S512" s="5">
        <f t="shared" si="175"/>
        <v>0</v>
      </c>
      <c r="T512" s="5">
        <f t="shared" si="176"/>
        <v>5328.8428571428576</v>
      </c>
      <c r="U512" s="5">
        <f t="shared" si="177"/>
        <v>31973.057142857142</v>
      </c>
    </row>
    <row r="513" spans="1:21">
      <c r="B513">
        <v>624</v>
      </c>
      <c r="C513" t="s">
        <v>924</v>
      </c>
      <c r="E513">
        <v>199309</v>
      </c>
      <c r="G513">
        <v>2018</v>
      </c>
      <c r="H513">
        <v>6</v>
      </c>
      <c r="I513">
        <v>0</v>
      </c>
      <c r="J513" t="s">
        <v>30</v>
      </c>
      <c r="K513" s="45">
        <v>7</v>
      </c>
      <c r="L513">
        <f t="shared" si="179"/>
        <v>2025</v>
      </c>
      <c r="M513" s="15">
        <f t="shared" si="170"/>
        <v>2025.5</v>
      </c>
      <c r="N513" s="5">
        <v>33402.910000000003</v>
      </c>
      <c r="O513" s="5">
        <f t="shared" si="180"/>
        <v>33402.910000000003</v>
      </c>
      <c r="P513" s="5">
        <f t="shared" si="181"/>
        <v>397.65369047619055</v>
      </c>
      <c r="Q513" s="5">
        <f t="shared" si="173"/>
        <v>4771.8442857142863</v>
      </c>
      <c r="R513" s="5">
        <f t="shared" si="174"/>
        <v>4771.8442857142863</v>
      </c>
      <c r="S513" s="5">
        <f t="shared" si="175"/>
        <v>0</v>
      </c>
      <c r="T513" s="5">
        <f t="shared" si="176"/>
        <v>4771.8442857142863</v>
      </c>
      <c r="U513" s="5">
        <f t="shared" si="177"/>
        <v>28631.065714285716</v>
      </c>
    </row>
    <row r="514" spans="1:21">
      <c r="B514">
        <v>864</v>
      </c>
      <c r="C514" t="s">
        <v>1071</v>
      </c>
      <c r="E514">
        <v>206677</v>
      </c>
      <c r="G514">
        <v>2018</v>
      </c>
      <c r="H514">
        <v>11</v>
      </c>
      <c r="I514">
        <v>0</v>
      </c>
      <c r="J514" t="s">
        <v>30</v>
      </c>
      <c r="K514" s="45">
        <v>7</v>
      </c>
      <c r="L514">
        <f t="shared" ref="L514:L519" si="182">G514+K514</f>
        <v>2025</v>
      </c>
      <c r="M514" s="15">
        <f t="shared" ref="M514:M519" si="183">+L514+(H514/12)</f>
        <v>2025.9166666666667</v>
      </c>
      <c r="N514" s="5">
        <v>39910.019999999997</v>
      </c>
      <c r="O514" s="5">
        <f t="shared" ref="O514:O522" si="184">N514-N514*I514</f>
        <v>39910.019999999997</v>
      </c>
      <c r="P514" s="5">
        <f t="shared" ref="P514:P522" si="185">O514/K514/12</f>
        <v>475.1192857142857</v>
      </c>
      <c r="Q514" s="5">
        <f t="shared" ref="Q514:Q522" si="186">P514*12</f>
        <v>5701.4314285714281</v>
      </c>
      <c r="R514" s="5">
        <f t="shared" si="174"/>
        <v>5701.4314285714281</v>
      </c>
      <c r="S514" s="5">
        <f t="shared" si="175"/>
        <v>0</v>
      </c>
      <c r="T514" s="5">
        <f t="shared" si="176"/>
        <v>5701.4314285714281</v>
      </c>
      <c r="U514" s="5">
        <f t="shared" si="177"/>
        <v>34208.588571428569</v>
      </c>
    </row>
    <row r="515" spans="1:21">
      <c r="B515">
        <v>624</v>
      </c>
      <c r="C515" t="s">
        <v>1070</v>
      </c>
      <c r="E515">
        <v>206414</v>
      </c>
      <c r="G515">
        <v>2018</v>
      </c>
      <c r="H515">
        <v>11</v>
      </c>
      <c r="I515">
        <v>0</v>
      </c>
      <c r="J515" t="s">
        <v>30</v>
      </c>
      <c r="K515" s="45">
        <v>7</v>
      </c>
      <c r="L515">
        <f t="shared" si="182"/>
        <v>2025</v>
      </c>
      <c r="M515" s="15">
        <f t="shared" si="183"/>
        <v>2025.9166666666667</v>
      </c>
      <c r="N515" s="5">
        <v>33601.22</v>
      </c>
      <c r="O515" s="5">
        <f t="shared" si="184"/>
        <v>33601.22</v>
      </c>
      <c r="P515" s="5">
        <f t="shared" si="185"/>
        <v>400.01452380952384</v>
      </c>
      <c r="Q515" s="5">
        <f t="shared" si="186"/>
        <v>4800.1742857142863</v>
      </c>
      <c r="R515" s="5">
        <f t="shared" si="174"/>
        <v>4800.1742857142863</v>
      </c>
      <c r="S515" s="5">
        <f t="shared" si="175"/>
        <v>0</v>
      </c>
      <c r="T515" s="5">
        <f t="shared" si="176"/>
        <v>4800.1742857142863</v>
      </c>
      <c r="U515" s="5">
        <f t="shared" si="177"/>
        <v>28801.045714285716</v>
      </c>
    </row>
    <row r="516" spans="1:21">
      <c r="B516">
        <v>1248</v>
      </c>
      <c r="C516" t="s">
        <v>1100</v>
      </c>
      <c r="E516">
        <v>211011</v>
      </c>
      <c r="G516">
        <v>2019</v>
      </c>
      <c r="H516">
        <v>2</v>
      </c>
      <c r="I516">
        <v>0</v>
      </c>
      <c r="J516" t="s">
        <v>30</v>
      </c>
      <c r="K516" s="45">
        <v>7</v>
      </c>
      <c r="L516">
        <f t="shared" si="182"/>
        <v>2026</v>
      </c>
      <c r="M516" s="15">
        <f t="shared" si="183"/>
        <v>2026.1666666666667</v>
      </c>
      <c r="N516" s="5">
        <v>63802.92</v>
      </c>
      <c r="O516" s="5">
        <f t="shared" si="184"/>
        <v>63802.92</v>
      </c>
      <c r="P516" s="5">
        <f t="shared" si="185"/>
        <v>759.55857142857133</v>
      </c>
      <c r="Q516" s="5">
        <f t="shared" si="186"/>
        <v>9114.7028571428564</v>
      </c>
      <c r="R516" s="5">
        <f t="shared" si="174"/>
        <v>9114.7028571428564</v>
      </c>
      <c r="S516" s="5">
        <f t="shared" si="175"/>
        <v>0</v>
      </c>
      <c r="T516" s="5">
        <f t="shared" si="176"/>
        <v>9114.7028571428564</v>
      </c>
      <c r="U516" s="5">
        <f t="shared" si="177"/>
        <v>54688.217142857146</v>
      </c>
    </row>
    <row r="517" spans="1:21">
      <c r="B517">
        <f>864+864</f>
        <v>1728</v>
      </c>
      <c r="C517" t="s">
        <v>1102</v>
      </c>
      <c r="E517" t="s">
        <v>1103</v>
      </c>
      <c r="G517">
        <v>2019</v>
      </c>
      <c r="H517">
        <v>2</v>
      </c>
      <c r="I517">
        <v>0</v>
      </c>
      <c r="J517" t="s">
        <v>30</v>
      </c>
      <c r="K517" s="45">
        <v>7</v>
      </c>
      <c r="L517">
        <f t="shared" si="182"/>
        <v>2026</v>
      </c>
      <c r="M517" s="15">
        <f t="shared" si="183"/>
        <v>2026.1666666666667</v>
      </c>
      <c r="N517" s="5">
        <f>39272.65+39272.65</f>
        <v>78545.3</v>
      </c>
      <c r="O517" s="5">
        <f t="shared" si="184"/>
        <v>78545.3</v>
      </c>
      <c r="P517" s="5">
        <f t="shared" si="185"/>
        <v>935.06309523809523</v>
      </c>
      <c r="Q517" s="5">
        <f t="shared" si="186"/>
        <v>11220.757142857143</v>
      </c>
      <c r="R517" s="5">
        <f>+IF(M517&lt;=$O$5,0,IF(L517&gt;$O$4,Q517,(P517*H517)))</f>
        <v>11220.757142857143</v>
      </c>
      <c r="S517" s="5">
        <f>+IF(R517=0,N517,IF($O$3-G517&lt;1,0,(($O$3-G517)*Q517)))</f>
        <v>0</v>
      </c>
      <c r="T517" s="5">
        <f>+IF(R517=0,S517,S517+R517)</f>
        <v>11220.757142857143</v>
      </c>
      <c r="U517" s="5">
        <f>+N517-T517</f>
        <v>67324.542857142864</v>
      </c>
    </row>
    <row r="518" spans="1:21">
      <c r="B518">
        <v>624</v>
      </c>
      <c r="C518" t="s">
        <v>1101</v>
      </c>
      <c r="E518">
        <v>211012</v>
      </c>
      <c r="G518">
        <v>2019</v>
      </c>
      <c r="H518">
        <v>3</v>
      </c>
      <c r="I518">
        <v>0</v>
      </c>
      <c r="J518" t="s">
        <v>30</v>
      </c>
      <c r="K518" s="45">
        <v>7</v>
      </c>
      <c r="L518">
        <f t="shared" si="182"/>
        <v>2026</v>
      </c>
      <c r="M518" s="15">
        <f t="shared" si="183"/>
        <v>2026.25</v>
      </c>
      <c r="N518" s="5">
        <v>31901.46</v>
      </c>
      <c r="O518" s="5">
        <f t="shared" si="184"/>
        <v>31901.46</v>
      </c>
      <c r="P518" s="5">
        <f t="shared" si="185"/>
        <v>379.77928571428566</v>
      </c>
      <c r="Q518" s="5">
        <f t="shared" si="186"/>
        <v>4557.3514285714282</v>
      </c>
      <c r="R518" s="5">
        <f t="shared" si="174"/>
        <v>4557.3514285714282</v>
      </c>
      <c r="S518" s="5">
        <f t="shared" si="175"/>
        <v>0</v>
      </c>
      <c r="T518" s="5">
        <f t="shared" si="176"/>
        <v>4557.3514285714282</v>
      </c>
      <c r="U518" s="5">
        <f t="shared" si="177"/>
        <v>27344.108571428573</v>
      </c>
    </row>
    <row r="519" spans="1:21">
      <c r="B519">
        <v>624</v>
      </c>
      <c r="C519" t="s">
        <v>1104</v>
      </c>
      <c r="E519">
        <v>217051</v>
      </c>
      <c r="G519">
        <v>2019</v>
      </c>
      <c r="H519">
        <v>6</v>
      </c>
      <c r="I519">
        <v>0</v>
      </c>
      <c r="J519" t="s">
        <v>30</v>
      </c>
      <c r="K519" s="45">
        <v>7</v>
      </c>
      <c r="L519">
        <f t="shared" si="182"/>
        <v>2026</v>
      </c>
      <c r="M519" s="15">
        <f t="shared" si="183"/>
        <v>2026.5</v>
      </c>
      <c r="N519" s="5">
        <v>30698.34</v>
      </c>
      <c r="O519" s="5">
        <f t="shared" si="184"/>
        <v>30698.34</v>
      </c>
      <c r="P519" s="5">
        <f t="shared" si="185"/>
        <v>365.4564285714286</v>
      </c>
      <c r="Q519" s="5">
        <f t="shared" si="186"/>
        <v>4385.477142857143</v>
      </c>
      <c r="R519" s="5">
        <f t="shared" si="174"/>
        <v>4385.477142857143</v>
      </c>
      <c r="S519" s="5">
        <f t="shared" si="175"/>
        <v>0</v>
      </c>
      <c r="T519" s="5">
        <f t="shared" si="176"/>
        <v>4385.477142857143</v>
      </c>
      <c r="U519" s="5">
        <f t="shared" si="177"/>
        <v>26312.862857142856</v>
      </c>
    </row>
    <row r="520" spans="1:21">
      <c r="B520">
        <v>351</v>
      </c>
      <c r="C520" t="s">
        <v>924</v>
      </c>
      <c r="E520">
        <v>221022</v>
      </c>
      <c r="G520">
        <v>2019</v>
      </c>
      <c r="H520">
        <v>9</v>
      </c>
      <c r="I520">
        <v>0</v>
      </c>
      <c r="J520" t="s">
        <v>30</v>
      </c>
      <c r="K520" s="45">
        <v>7</v>
      </c>
      <c r="L520">
        <f>G520+K520</f>
        <v>2026</v>
      </c>
      <c r="M520" s="15">
        <f>+L520+(H520/12)</f>
        <v>2026.75</v>
      </c>
      <c r="N520" s="5">
        <v>16166.72</v>
      </c>
      <c r="O520" s="5">
        <f t="shared" si="184"/>
        <v>16166.72</v>
      </c>
      <c r="P520" s="5">
        <f t="shared" si="185"/>
        <v>192.46095238095236</v>
      </c>
      <c r="Q520" s="5">
        <f t="shared" si="186"/>
        <v>2309.5314285714285</v>
      </c>
      <c r="R520" s="5">
        <f t="shared" si="174"/>
        <v>2309.5314285714285</v>
      </c>
      <c r="S520" s="5">
        <f t="shared" si="175"/>
        <v>0</v>
      </c>
      <c r="T520" s="5">
        <f t="shared" si="176"/>
        <v>2309.5314285714285</v>
      </c>
      <c r="U520" s="5">
        <f t="shared" si="177"/>
        <v>13857.188571428571</v>
      </c>
    </row>
    <row r="521" spans="1:21">
      <c r="B521">
        <v>540</v>
      </c>
      <c r="C521" t="s">
        <v>1129</v>
      </c>
      <c r="E521">
        <v>221021</v>
      </c>
      <c r="G521">
        <v>2019</v>
      </c>
      <c r="H521">
        <v>9</v>
      </c>
      <c r="I521">
        <v>0</v>
      </c>
      <c r="J521" t="s">
        <v>30</v>
      </c>
      <c r="K521" s="45">
        <v>7</v>
      </c>
      <c r="L521">
        <f>G521+K521</f>
        <v>2026</v>
      </c>
      <c r="M521" s="15">
        <f>+L521+(H521/12)</f>
        <v>2026.75</v>
      </c>
      <c r="N521" s="5">
        <v>17865.96</v>
      </c>
      <c r="O521" s="5">
        <f t="shared" si="184"/>
        <v>17865.96</v>
      </c>
      <c r="P521" s="5">
        <f t="shared" si="185"/>
        <v>212.68999999999997</v>
      </c>
      <c r="Q521" s="5">
        <f t="shared" si="186"/>
        <v>2552.2799999999997</v>
      </c>
      <c r="R521" s="5">
        <f t="shared" si="174"/>
        <v>2552.2799999999997</v>
      </c>
      <c r="S521" s="5">
        <f t="shared" si="175"/>
        <v>0</v>
      </c>
      <c r="T521" s="5">
        <f t="shared" si="176"/>
        <v>2552.2799999999997</v>
      </c>
      <c r="U521" s="5">
        <f t="shared" si="177"/>
        <v>15313.68</v>
      </c>
    </row>
    <row r="522" spans="1:21">
      <c r="B522">
        <v>936</v>
      </c>
      <c r="C522" t="s">
        <v>930</v>
      </c>
      <c r="E522">
        <v>225820</v>
      </c>
      <c r="G522">
        <v>2019</v>
      </c>
      <c r="H522">
        <v>10</v>
      </c>
      <c r="I522">
        <v>0</v>
      </c>
      <c r="J522" t="s">
        <v>30</v>
      </c>
      <c r="K522" s="45">
        <v>7</v>
      </c>
      <c r="L522">
        <f>G522+K522</f>
        <v>2026</v>
      </c>
      <c r="M522" s="15">
        <f>+L522+(H522/12)</f>
        <v>2026.8333333333333</v>
      </c>
      <c r="N522" s="5">
        <v>37525.4</v>
      </c>
      <c r="O522" s="5">
        <f t="shared" si="184"/>
        <v>37525.4</v>
      </c>
      <c r="P522" s="5">
        <f t="shared" si="185"/>
        <v>446.73095238095243</v>
      </c>
      <c r="Q522" s="5">
        <f t="shared" si="186"/>
        <v>5360.7714285714292</v>
      </c>
      <c r="R522" s="5">
        <f t="shared" si="174"/>
        <v>5360.7714285714292</v>
      </c>
      <c r="S522" s="5">
        <f t="shared" si="175"/>
        <v>0</v>
      </c>
      <c r="T522" s="5">
        <f t="shared" si="176"/>
        <v>5360.7714285714292</v>
      </c>
      <c r="U522" s="5">
        <f t="shared" si="177"/>
        <v>32164.628571428573</v>
      </c>
    </row>
    <row r="523" spans="1:21">
      <c r="M523" s="15"/>
    </row>
    <row r="524" spans="1:21">
      <c r="L524" s="6" t="s">
        <v>454</v>
      </c>
      <c r="M524" s="36"/>
      <c r="N524" s="9">
        <f t="shared" ref="N524:U524" si="187">SUM(N401:N523)</f>
        <v>3621764.3630000013</v>
      </c>
      <c r="O524" s="9">
        <f t="shared" si="187"/>
        <v>3621764.3630000013</v>
      </c>
      <c r="P524" s="9">
        <f t="shared" si="187"/>
        <v>43116.242416666668</v>
      </c>
      <c r="Q524" s="9">
        <f t="shared" si="187"/>
        <v>517394.9090000001</v>
      </c>
      <c r="R524" s="9">
        <f t="shared" si="187"/>
        <v>332179.52328571427</v>
      </c>
      <c r="S524" s="9">
        <f t="shared" si="187"/>
        <v>2039820.7088571428</v>
      </c>
      <c r="T524" s="9">
        <f t="shared" si="187"/>
        <v>2372000.2321428573</v>
      </c>
      <c r="U524" s="9">
        <f t="shared" si="187"/>
        <v>1249764.1308571433</v>
      </c>
    </row>
    <row r="525" spans="1:21">
      <c r="M525" s="15"/>
    </row>
    <row r="526" spans="1:21">
      <c r="A526" s="4" t="s">
        <v>852</v>
      </c>
      <c r="M526" s="15"/>
    </row>
    <row r="527" spans="1:21">
      <c r="B527">
        <f>912*4</f>
        <v>3648</v>
      </c>
      <c r="C527" t="s">
        <v>759</v>
      </c>
      <c r="E527" t="s">
        <v>760</v>
      </c>
      <c r="G527">
        <v>2015</v>
      </c>
      <c r="H527">
        <v>6</v>
      </c>
      <c r="I527">
        <v>0</v>
      </c>
      <c r="J527" t="s">
        <v>30</v>
      </c>
      <c r="K527" s="45">
        <v>7</v>
      </c>
      <c r="L527">
        <f>G527+K527</f>
        <v>2022</v>
      </c>
      <c r="M527" s="15">
        <f>+L527+(H527/12)</f>
        <v>2022.5</v>
      </c>
      <c r="N527" s="5">
        <f>40129.97*4</f>
        <v>160519.88</v>
      </c>
      <c r="O527" s="5">
        <f>N527-N527*I527</f>
        <v>160519.88</v>
      </c>
      <c r="P527" s="5">
        <f>O527/K527/12</f>
        <v>1910.9509523809522</v>
      </c>
      <c r="Q527" s="5">
        <f>P527*12</f>
        <v>22931.411428571428</v>
      </c>
      <c r="R527" s="5">
        <f>+IF(M527&lt;=$O$5,0,IF(L527&gt;$O$4,Q527,(P527*H527)))</f>
        <v>22931.411428571428</v>
      </c>
      <c r="S527" s="5">
        <f>+IF(R527=0,N527,IF($O$3-G527&lt;1,0,(($O$3-G527)*Q527)))</f>
        <v>68794.234285714279</v>
      </c>
      <c r="T527" s="5">
        <f>+IF(R527=0,S527,S527+R527)</f>
        <v>91725.645714285711</v>
      </c>
      <c r="U527" s="5">
        <f>+N527-T527</f>
        <v>68794.234285714294</v>
      </c>
    </row>
    <row r="528" spans="1:21">
      <c r="B528">
        <v>12</v>
      </c>
      <c r="C528" t="s">
        <v>853</v>
      </c>
      <c r="E528">
        <v>176740</v>
      </c>
      <c r="G528">
        <v>2017</v>
      </c>
      <c r="H528">
        <v>2</v>
      </c>
      <c r="I528">
        <v>0</v>
      </c>
      <c r="J528" t="s">
        <v>854</v>
      </c>
      <c r="K528" s="45">
        <v>7</v>
      </c>
      <c r="L528">
        <f>G528+K528</f>
        <v>2024</v>
      </c>
      <c r="M528" s="15">
        <f>+L528+(H528/12)</f>
        <v>2024.1666666666667</v>
      </c>
      <c r="N528" s="5">
        <v>4688.46</v>
      </c>
      <c r="O528" s="5">
        <f>N528-N528*I528</f>
        <v>4688.46</v>
      </c>
      <c r="P528" s="5">
        <f>O528/K528/12</f>
        <v>55.814999999999998</v>
      </c>
      <c r="Q528" s="5">
        <f>P528*12</f>
        <v>669.78</v>
      </c>
      <c r="R528" s="5">
        <f>+IF(M528&lt;=$O$5,0,IF(L528&gt;$O$4,Q528,(P528*H528)))</f>
        <v>669.78</v>
      </c>
      <c r="S528" s="5">
        <f>+IF(R528=0,N528,IF($O$3-G528&lt;1,0,(($O$3-G528)*Q528)))</f>
        <v>669.78</v>
      </c>
      <c r="T528" s="5">
        <f>+IF(R528=0,S528,S528+R528)</f>
        <v>1339.56</v>
      </c>
      <c r="U528" s="5">
        <f>+N528-T528</f>
        <v>3348.9</v>
      </c>
    </row>
    <row r="529" spans="1:21">
      <c r="M529" s="15"/>
    </row>
    <row r="530" spans="1:21">
      <c r="L530" s="6" t="s">
        <v>454</v>
      </c>
      <c r="M530" s="36"/>
      <c r="N530" s="9">
        <f>SUM(N527:N529)</f>
        <v>165208.34</v>
      </c>
      <c r="O530" s="9">
        <f t="shared" ref="O530:T530" si="188">SUM(O527:O529)</f>
        <v>165208.34</v>
      </c>
      <c r="P530" s="9">
        <f t="shared" si="188"/>
        <v>1966.7659523809523</v>
      </c>
      <c r="Q530" s="9">
        <f t="shared" si="188"/>
        <v>23601.191428571427</v>
      </c>
      <c r="R530" s="9">
        <f t="shared" si="188"/>
        <v>23601.191428571427</v>
      </c>
      <c r="S530" s="9">
        <f t="shared" si="188"/>
        <v>69464.014285714278</v>
      </c>
      <c r="T530" s="9">
        <f t="shared" si="188"/>
        <v>93065.205714285708</v>
      </c>
      <c r="U530" s="9">
        <f>SUM(U527:U529)</f>
        <v>72143.134285714288</v>
      </c>
    </row>
    <row r="531" spans="1:21">
      <c r="A531" s="4" t="s">
        <v>1159</v>
      </c>
      <c r="M531" s="15"/>
    </row>
    <row r="532" spans="1:21">
      <c r="B532">
        <v>32216</v>
      </c>
      <c r="C532" t="s">
        <v>156</v>
      </c>
      <c r="G532">
        <v>2005</v>
      </c>
      <c r="H532">
        <v>3</v>
      </c>
      <c r="I532">
        <v>0</v>
      </c>
      <c r="J532" t="s">
        <v>30</v>
      </c>
      <c r="K532" s="45">
        <v>7</v>
      </c>
      <c r="L532">
        <f t="shared" ref="L532:L541" si="189">G532+K532</f>
        <v>2012</v>
      </c>
      <c r="M532" s="15">
        <f t="shared" ref="M532:M573" si="190">+L532+(H532/12)</f>
        <v>2012.25</v>
      </c>
      <c r="N532" s="5">
        <v>1546385.28</v>
      </c>
      <c r="O532" s="5">
        <f t="shared" ref="O532:O541" si="191">N532-N532*I532</f>
        <v>1546385.28</v>
      </c>
      <c r="P532" s="5">
        <f t="shared" ref="P532:P541" si="192">O532/K532/12</f>
        <v>18409.348571428571</v>
      </c>
      <c r="Q532" s="5">
        <f t="shared" ref="Q532:Q573" si="193">P532*12</f>
        <v>220912.18285714285</v>
      </c>
      <c r="R532" s="5">
        <f t="shared" ref="R532:R574" si="194">+IF(M532&lt;=$O$5,0,IF(L532&gt;$O$4,Q532,(P532*H532)))</f>
        <v>0</v>
      </c>
      <c r="S532" s="5">
        <f t="shared" ref="S532:S574" si="195">+IF(R532=0,N532,IF($O$3-G532&lt;1,0,(($O$3-G532)*Q532)))</f>
        <v>1546385.28</v>
      </c>
      <c r="T532" s="5">
        <f t="shared" ref="T532:T574" si="196">+IF(R532=0,S532,S532+R532)</f>
        <v>1546385.28</v>
      </c>
      <c r="U532" s="5">
        <f t="shared" ref="U532:U574" si="197">+N532-T532</f>
        <v>0</v>
      </c>
    </row>
    <row r="533" spans="1:21">
      <c r="B533">
        <v>9481</v>
      </c>
      <c r="C533" t="s">
        <v>156</v>
      </c>
      <c r="G533">
        <v>2005</v>
      </c>
      <c r="H533">
        <v>4</v>
      </c>
      <c r="I533">
        <v>0</v>
      </c>
      <c r="J533" t="s">
        <v>30</v>
      </c>
      <c r="K533" s="45">
        <v>7</v>
      </c>
      <c r="L533">
        <f t="shared" si="189"/>
        <v>2012</v>
      </c>
      <c r="M533" s="15">
        <f t="shared" si="190"/>
        <v>2012.3333333333333</v>
      </c>
      <c r="N533" s="5">
        <v>455099.52</v>
      </c>
      <c r="O533" s="5">
        <f t="shared" si="191"/>
        <v>455099.52</v>
      </c>
      <c r="P533" s="5">
        <f t="shared" si="192"/>
        <v>5417.8514285714291</v>
      </c>
      <c r="Q533" s="5">
        <f t="shared" si="193"/>
        <v>65014.217142857146</v>
      </c>
      <c r="R533" s="5">
        <f t="shared" si="194"/>
        <v>0</v>
      </c>
      <c r="S533" s="5">
        <f t="shared" si="195"/>
        <v>455099.52</v>
      </c>
      <c r="T533" s="5">
        <f t="shared" si="196"/>
        <v>455099.52</v>
      </c>
      <c r="U533" s="5">
        <f t="shared" si="197"/>
        <v>0</v>
      </c>
    </row>
    <row r="534" spans="1:21">
      <c r="B534" s="17">
        <v>128</v>
      </c>
      <c r="C534" t="s">
        <v>559</v>
      </c>
      <c r="G534">
        <v>2007</v>
      </c>
      <c r="H534">
        <v>8</v>
      </c>
      <c r="I534">
        <v>0</v>
      </c>
      <c r="J534" t="s">
        <v>30</v>
      </c>
      <c r="K534" s="45">
        <v>7</v>
      </c>
      <c r="L534">
        <f>G534+K534</f>
        <v>2014</v>
      </c>
      <c r="M534" s="15">
        <f>+L534+(H534/12)</f>
        <v>2014.6666666666667</v>
      </c>
      <c r="N534" s="5">
        <v>56759.66</v>
      </c>
      <c r="O534" s="5">
        <f>N534-N534*I534</f>
        <v>56759.66</v>
      </c>
      <c r="P534" s="5">
        <f>O534/K534/12</f>
        <v>675.7102380952382</v>
      </c>
      <c r="Q534" s="5">
        <f>P534*12</f>
        <v>8108.5228571428579</v>
      </c>
      <c r="R534" s="5">
        <f>+IF(M534&lt;=$O$5,0,IF(L534&gt;$O$4,Q534,(P534*H534)))</f>
        <v>0</v>
      </c>
      <c r="S534" s="5">
        <f>+IF(R534=0,N534,IF($O$3-G534&lt;1,0,(($O$3-G534)*Q534)))</f>
        <v>56759.66</v>
      </c>
      <c r="T534" s="5">
        <f>+IF(R534=0,S534,S534+R534)</f>
        <v>56759.66</v>
      </c>
      <c r="U534" s="5">
        <f>+N534-T534</f>
        <v>0</v>
      </c>
    </row>
    <row r="535" spans="1:21">
      <c r="B535">
        <v>618</v>
      </c>
      <c r="C535" t="s">
        <v>302</v>
      </c>
      <c r="G535">
        <v>2008</v>
      </c>
      <c r="H535">
        <v>2</v>
      </c>
      <c r="I535">
        <v>0</v>
      </c>
      <c r="J535" t="s">
        <v>30</v>
      </c>
      <c r="K535" s="45">
        <v>7</v>
      </c>
      <c r="L535">
        <f t="shared" si="189"/>
        <v>2015</v>
      </c>
      <c r="M535" s="15">
        <f t="shared" si="190"/>
        <v>2015.1666666666667</v>
      </c>
      <c r="N535" s="5">
        <v>29652.77</v>
      </c>
      <c r="O535" s="5">
        <f t="shared" si="191"/>
        <v>29652.77</v>
      </c>
      <c r="P535" s="5">
        <f t="shared" si="192"/>
        <v>353.00916666666666</v>
      </c>
      <c r="Q535" s="5">
        <f t="shared" si="193"/>
        <v>4236.1099999999997</v>
      </c>
      <c r="R535" s="5">
        <f t="shared" si="194"/>
        <v>0</v>
      </c>
      <c r="S535" s="5">
        <f t="shared" si="195"/>
        <v>29652.77</v>
      </c>
      <c r="T535" s="5">
        <f t="shared" si="196"/>
        <v>29652.77</v>
      </c>
      <c r="U535" s="5">
        <f t="shared" si="197"/>
        <v>0</v>
      </c>
    </row>
    <row r="536" spans="1:21">
      <c r="B536">
        <v>627</v>
      </c>
      <c r="C536" t="s">
        <v>156</v>
      </c>
      <c r="G536">
        <v>2008</v>
      </c>
      <c r="H536">
        <v>3</v>
      </c>
      <c r="I536">
        <v>0</v>
      </c>
      <c r="J536" t="s">
        <v>30</v>
      </c>
      <c r="K536" s="45">
        <v>7</v>
      </c>
      <c r="L536">
        <f t="shared" si="189"/>
        <v>2015</v>
      </c>
      <c r="M536" s="15">
        <f t="shared" si="190"/>
        <v>2015.25</v>
      </c>
      <c r="N536" s="5">
        <v>30072.07</v>
      </c>
      <c r="O536" s="5">
        <f t="shared" si="191"/>
        <v>30072.07</v>
      </c>
      <c r="P536" s="5">
        <f t="shared" si="192"/>
        <v>358.00083333333333</v>
      </c>
      <c r="Q536" s="5">
        <f t="shared" si="193"/>
        <v>4296.01</v>
      </c>
      <c r="R536" s="5">
        <f t="shared" si="194"/>
        <v>0</v>
      </c>
      <c r="S536" s="5">
        <f t="shared" si="195"/>
        <v>30072.07</v>
      </c>
      <c r="T536" s="5">
        <f t="shared" si="196"/>
        <v>30072.07</v>
      </c>
      <c r="U536" s="5">
        <f t="shared" si="197"/>
        <v>0</v>
      </c>
    </row>
    <row r="537" spans="1:21">
      <c r="B537">
        <v>310</v>
      </c>
      <c r="C537" t="s">
        <v>156</v>
      </c>
      <c r="G537">
        <v>2008</v>
      </c>
      <c r="H537">
        <v>3</v>
      </c>
      <c r="I537">
        <v>0</v>
      </c>
      <c r="J537" t="s">
        <v>30</v>
      </c>
      <c r="K537" s="45">
        <v>7</v>
      </c>
      <c r="L537">
        <f t="shared" si="189"/>
        <v>2015</v>
      </c>
      <c r="M537" s="15">
        <f t="shared" si="190"/>
        <v>2015.25</v>
      </c>
      <c r="N537" s="5">
        <v>14900.5</v>
      </c>
      <c r="O537" s="5">
        <f t="shared" si="191"/>
        <v>14900.5</v>
      </c>
      <c r="P537" s="5">
        <f t="shared" si="192"/>
        <v>177.38690476190479</v>
      </c>
      <c r="Q537" s="5">
        <f t="shared" si="193"/>
        <v>2128.6428571428573</v>
      </c>
      <c r="R537" s="5">
        <f t="shared" si="194"/>
        <v>0</v>
      </c>
      <c r="S537" s="5">
        <f t="shared" si="195"/>
        <v>14900.5</v>
      </c>
      <c r="T537" s="5">
        <f t="shared" si="196"/>
        <v>14900.5</v>
      </c>
      <c r="U537" s="5">
        <f t="shared" si="197"/>
        <v>0</v>
      </c>
    </row>
    <row r="538" spans="1:21">
      <c r="B538">
        <v>640</v>
      </c>
      <c r="C538" t="s">
        <v>159</v>
      </c>
      <c r="G538">
        <v>2008</v>
      </c>
      <c r="H538">
        <v>3</v>
      </c>
      <c r="I538">
        <v>0</v>
      </c>
      <c r="J538" t="s">
        <v>30</v>
      </c>
      <c r="K538" s="45">
        <v>7</v>
      </c>
      <c r="L538">
        <f t="shared" si="189"/>
        <v>2015</v>
      </c>
      <c r="M538" s="15">
        <f t="shared" si="190"/>
        <v>2015.25</v>
      </c>
      <c r="N538" s="5">
        <v>30706.32</v>
      </c>
      <c r="O538" s="5">
        <f t="shared" si="191"/>
        <v>30706.32</v>
      </c>
      <c r="P538" s="5">
        <f t="shared" si="192"/>
        <v>365.55142857142852</v>
      </c>
      <c r="Q538" s="5">
        <f t="shared" si="193"/>
        <v>4386.6171428571424</v>
      </c>
      <c r="R538" s="5">
        <f t="shared" si="194"/>
        <v>0</v>
      </c>
      <c r="S538" s="5">
        <f t="shared" si="195"/>
        <v>30706.32</v>
      </c>
      <c r="T538" s="5">
        <f t="shared" si="196"/>
        <v>30706.32</v>
      </c>
      <c r="U538" s="5">
        <f t="shared" si="197"/>
        <v>0</v>
      </c>
    </row>
    <row r="539" spans="1:21">
      <c r="B539">
        <v>638</v>
      </c>
      <c r="C539" t="s">
        <v>302</v>
      </c>
      <c r="G539">
        <v>2008</v>
      </c>
      <c r="H539">
        <v>5</v>
      </c>
      <c r="I539">
        <v>0</v>
      </c>
      <c r="J539" t="s">
        <v>30</v>
      </c>
      <c r="K539" s="45">
        <v>7</v>
      </c>
      <c r="L539">
        <f t="shared" si="189"/>
        <v>2015</v>
      </c>
      <c r="M539" s="15">
        <f t="shared" si="190"/>
        <v>2015.4166666666667</v>
      </c>
      <c r="N539" s="5">
        <v>30612.3</v>
      </c>
      <c r="O539" s="5">
        <f t="shared" si="191"/>
        <v>30612.3</v>
      </c>
      <c r="P539" s="5">
        <f t="shared" si="192"/>
        <v>364.43214285714288</v>
      </c>
      <c r="Q539" s="5">
        <f t="shared" si="193"/>
        <v>4373.1857142857143</v>
      </c>
      <c r="R539" s="5">
        <f t="shared" si="194"/>
        <v>0</v>
      </c>
      <c r="S539" s="5">
        <f t="shared" si="195"/>
        <v>30612.3</v>
      </c>
      <c r="T539" s="5">
        <f t="shared" si="196"/>
        <v>30612.3</v>
      </c>
      <c r="U539" s="5">
        <f t="shared" si="197"/>
        <v>0</v>
      </c>
    </row>
    <row r="540" spans="1:21">
      <c r="B540">
        <v>634</v>
      </c>
      <c r="C540" t="s">
        <v>302</v>
      </c>
      <c r="G540">
        <v>2008</v>
      </c>
      <c r="H540">
        <v>5</v>
      </c>
      <c r="I540">
        <v>0</v>
      </c>
      <c r="J540" t="s">
        <v>30</v>
      </c>
      <c r="K540" s="45">
        <v>7</v>
      </c>
      <c r="L540">
        <f t="shared" si="189"/>
        <v>2015</v>
      </c>
      <c r="M540" s="15">
        <f t="shared" si="190"/>
        <v>2015.4166666666667</v>
      </c>
      <c r="N540" s="5">
        <v>30437.39</v>
      </c>
      <c r="O540" s="5">
        <f t="shared" si="191"/>
        <v>30437.39</v>
      </c>
      <c r="P540" s="5">
        <f t="shared" si="192"/>
        <v>362.34988095238094</v>
      </c>
      <c r="Q540" s="5">
        <f t="shared" si="193"/>
        <v>4348.1985714285711</v>
      </c>
      <c r="R540" s="5">
        <f t="shared" si="194"/>
        <v>0</v>
      </c>
      <c r="S540" s="5">
        <f t="shared" si="195"/>
        <v>30437.39</v>
      </c>
      <c r="T540" s="5">
        <f t="shared" si="196"/>
        <v>30437.39</v>
      </c>
      <c r="U540" s="5">
        <f t="shared" si="197"/>
        <v>0</v>
      </c>
    </row>
    <row r="541" spans="1:21">
      <c r="B541">
        <v>1285</v>
      </c>
      <c r="C541" t="s">
        <v>302</v>
      </c>
      <c r="G541">
        <v>2008</v>
      </c>
      <c r="H541">
        <v>6</v>
      </c>
      <c r="I541">
        <v>0</v>
      </c>
      <c r="J541" t="s">
        <v>30</v>
      </c>
      <c r="K541" s="45">
        <v>7</v>
      </c>
      <c r="L541">
        <f t="shared" si="189"/>
        <v>2015</v>
      </c>
      <c r="M541" s="15">
        <f t="shared" si="190"/>
        <v>2015.5</v>
      </c>
      <c r="N541" s="5">
        <v>61670.44</v>
      </c>
      <c r="O541" s="5">
        <f t="shared" si="191"/>
        <v>61670.44</v>
      </c>
      <c r="P541" s="5">
        <f t="shared" si="192"/>
        <v>734.17190476190478</v>
      </c>
      <c r="Q541" s="5">
        <f t="shared" si="193"/>
        <v>8810.062857142857</v>
      </c>
      <c r="R541" s="5">
        <f t="shared" si="194"/>
        <v>0</v>
      </c>
      <c r="S541" s="5">
        <f t="shared" si="195"/>
        <v>61670.44</v>
      </c>
      <c r="T541" s="5">
        <f t="shared" si="196"/>
        <v>61670.44</v>
      </c>
      <c r="U541" s="5">
        <f t="shared" si="197"/>
        <v>0</v>
      </c>
    </row>
    <row r="542" spans="1:21">
      <c r="B542">
        <v>317</v>
      </c>
      <c r="C542" t="s">
        <v>156</v>
      </c>
      <c r="G542">
        <v>2008</v>
      </c>
      <c r="H542">
        <v>6</v>
      </c>
      <c r="I542">
        <v>0</v>
      </c>
      <c r="J542" t="s">
        <v>30</v>
      </c>
      <c r="K542" s="45">
        <v>7</v>
      </c>
      <c r="L542">
        <f t="shared" ref="L542:L570" si="198">G542+K542</f>
        <v>2015</v>
      </c>
      <c r="M542" s="15">
        <f t="shared" si="190"/>
        <v>2015.5</v>
      </c>
      <c r="N542" s="5">
        <v>15202.07</v>
      </c>
      <c r="O542" s="5">
        <f t="shared" ref="O542:O573" si="199">N542-N542*I542</f>
        <v>15202.07</v>
      </c>
      <c r="P542" s="5">
        <f t="shared" ref="P542:P573" si="200">O542/K542/12</f>
        <v>180.97702380952379</v>
      </c>
      <c r="Q542" s="5">
        <f t="shared" si="193"/>
        <v>2171.7242857142855</v>
      </c>
      <c r="R542" s="5">
        <f t="shared" si="194"/>
        <v>0</v>
      </c>
      <c r="S542" s="5">
        <f t="shared" si="195"/>
        <v>15202.07</v>
      </c>
      <c r="T542" s="5">
        <f t="shared" si="196"/>
        <v>15202.07</v>
      </c>
      <c r="U542" s="5">
        <f t="shared" si="197"/>
        <v>0</v>
      </c>
    </row>
    <row r="543" spans="1:21">
      <c r="B543">
        <v>634</v>
      </c>
      <c r="C543" t="s">
        <v>159</v>
      </c>
      <c r="G543">
        <v>2008</v>
      </c>
      <c r="H543">
        <v>8</v>
      </c>
      <c r="I543">
        <v>0</v>
      </c>
      <c r="J543" t="s">
        <v>30</v>
      </c>
      <c r="K543" s="45">
        <v>7</v>
      </c>
      <c r="L543">
        <f t="shared" si="198"/>
        <v>2015</v>
      </c>
      <c r="M543" s="15">
        <f t="shared" si="190"/>
        <v>2015.6666666666667</v>
      </c>
      <c r="N543" s="5">
        <v>30425.26</v>
      </c>
      <c r="O543" s="5">
        <f t="shared" si="199"/>
        <v>30425.26</v>
      </c>
      <c r="P543" s="5">
        <f t="shared" si="200"/>
        <v>362.20547619047619</v>
      </c>
      <c r="Q543" s="5">
        <f t="shared" si="193"/>
        <v>4346.4657142857141</v>
      </c>
      <c r="R543" s="5">
        <f t="shared" si="194"/>
        <v>0</v>
      </c>
      <c r="S543" s="5">
        <f t="shared" si="195"/>
        <v>30425.26</v>
      </c>
      <c r="T543" s="5">
        <f t="shared" si="196"/>
        <v>30425.26</v>
      </c>
      <c r="U543" s="5">
        <f t="shared" si="197"/>
        <v>0</v>
      </c>
    </row>
    <row r="544" spans="1:21">
      <c r="B544">
        <v>645</v>
      </c>
      <c r="C544" t="s">
        <v>302</v>
      </c>
      <c r="G544">
        <v>2008</v>
      </c>
      <c r="H544">
        <v>9</v>
      </c>
      <c r="I544">
        <v>0</v>
      </c>
      <c r="J544" t="s">
        <v>30</v>
      </c>
      <c r="K544" s="45">
        <v>7</v>
      </c>
      <c r="L544">
        <f t="shared" si="198"/>
        <v>2015</v>
      </c>
      <c r="M544" s="15">
        <f t="shared" si="190"/>
        <v>2015.75</v>
      </c>
      <c r="N544" s="5">
        <v>30944.14</v>
      </c>
      <c r="O544" s="5">
        <f t="shared" si="199"/>
        <v>30944.14</v>
      </c>
      <c r="P544" s="5">
        <f t="shared" si="200"/>
        <v>368.38261904761907</v>
      </c>
      <c r="Q544" s="5">
        <f t="shared" si="193"/>
        <v>4420.5914285714289</v>
      </c>
      <c r="R544" s="5">
        <f t="shared" si="194"/>
        <v>0</v>
      </c>
      <c r="S544" s="5">
        <f t="shared" si="195"/>
        <v>30944.14</v>
      </c>
      <c r="T544" s="5">
        <f t="shared" si="196"/>
        <v>30944.14</v>
      </c>
      <c r="U544" s="5">
        <f t="shared" si="197"/>
        <v>0</v>
      </c>
    </row>
    <row r="545" spans="2:21">
      <c r="B545">
        <v>639</v>
      </c>
      <c r="C545" t="s">
        <v>302</v>
      </c>
      <c r="G545">
        <v>2008</v>
      </c>
      <c r="H545">
        <v>9</v>
      </c>
      <c r="I545">
        <v>0</v>
      </c>
      <c r="J545" t="s">
        <v>30</v>
      </c>
      <c r="K545" s="45">
        <v>7</v>
      </c>
      <c r="L545">
        <f t="shared" si="198"/>
        <v>2015</v>
      </c>
      <c r="M545" s="15">
        <f t="shared" si="190"/>
        <v>2015.75</v>
      </c>
      <c r="N545" s="5">
        <v>30672.63</v>
      </c>
      <c r="O545" s="5">
        <f t="shared" si="199"/>
        <v>30672.63</v>
      </c>
      <c r="P545" s="5">
        <f t="shared" si="200"/>
        <v>365.1503571428571</v>
      </c>
      <c r="Q545" s="5">
        <f t="shared" si="193"/>
        <v>4381.8042857142855</v>
      </c>
      <c r="R545" s="5">
        <f t="shared" si="194"/>
        <v>0</v>
      </c>
      <c r="S545" s="5">
        <f t="shared" si="195"/>
        <v>30672.63</v>
      </c>
      <c r="T545" s="5">
        <f t="shared" si="196"/>
        <v>30672.63</v>
      </c>
      <c r="U545" s="5">
        <f t="shared" si="197"/>
        <v>0</v>
      </c>
    </row>
    <row r="546" spans="2:21">
      <c r="B546">
        <v>638</v>
      </c>
      <c r="C546" t="s">
        <v>159</v>
      </c>
      <c r="G546">
        <v>2008</v>
      </c>
      <c r="H546">
        <v>10</v>
      </c>
      <c r="I546">
        <v>0</v>
      </c>
      <c r="J546" t="s">
        <v>30</v>
      </c>
      <c r="K546" s="45">
        <v>7</v>
      </c>
      <c r="L546">
        <f t="shared" si="198"/>
        <v>2015</v>
      </c>
      <c r="M546" s="15">
        <f t="shared" si="190"/>
        <v>2015.8333333333333</v>
      </c>
      <c r="N546" s="5">
        <v>30636.95</v>
      </c>
      <c r="O546" s="5">
        <f t="shared" si="199"/>
        <v>30636.95</v>
      </c>
      <c r="P546" s="5">
        <f t="shared" si="200"/>
        <v>364.7255952380952</v>
      </c>
      <c r="Q546" s="5">
        <f t="shared" si="193"/>
        <v>4376.7071428571426</v>
      </c>
      <c r="R546" s="5">
        <f t="shared" si="194"/>
        <v>0</v>
      </c>
      <c r="S546" s="5">
        <f t="shared" si="195"/>
        <v>30636.95</v>
      </c>
      <c r="T546" s="5">
        <f t="shared" si="196"/>
        <v>30636.95</v>
      </c>
      <c r="U546" s="5">
        <f t="shared" si="197"/>
        <v>0</v>
      </c>
    </row>
    <row r="547" spans="2:21">
      <c r="B547">
        <v>486</v>
      </c>
      <c r="C547" t="s">
        <v>160</v>
      </c>
      <c r="E547">
        <v>65432</v>
      </c>
      <c r="G547">
        <v>2009</v>
      </c>
      <c r="H547">
        <v>4</v>
      </c>
      <c r="I547">
        <v>0</v>
      </c>
      <c r="J547" t="s">
        <v>30</v>
      </c>
      <c r="K547" s="45">
        <v>7</v>
      </c>
      <c r="L547">
        <f t="shared" si="198"/>
        <v>2016</v>
      </c>
      <c r="M547" s="15">
        <f t="shared" si="190"/>
        <v>2016.3333333333333</v>
      </c>
      <c r="N547" s="5">
        <v>25794.99</v>
      </c>
      <c r="O547" s="5">
        <f t="shared" si="199"/>
        <v>25794.99</v>
      </c>
      <c r="P547" s="5">
        <f t="shared" si="200"/>
        <v>307.08321428571429</v>
      </c>
      <c r="Q547" s="5">
        <f t="shared" si="193"/>
        <v>3684.9985714285713</v>
      </c>
      <c r="R547" s="5">
        <f t="shared" si="194"/>
        <v>0</v>
      </c>
      <c r="S547" s="5">
        <f t="shared" si="195"/>
        <v>25794.99</v>
      </c>
      <c r="T547" s="5">
        <f t="shared" si="196"/>
        <v>25794.99</v>
      </c>
      <c r="U547" s="5">
        <f t="shared" si="197"/>
        <v>0</v>
      </c>
    </row>
    <row r="548" spans="2:21">
      <c r="B548">
        <v>486</v>
      </c>
      <c r="C548" t="s">
        <v>379</v>
      </c>
      <c r="E548">
        <v>66101</v>
      </c>
      <c r="G548">
        <v>2009</v>
      </c>
      <c r="H548">
        <v>7</v>
      </c>
      <c r="I548">
        <v>0</v>
      </c>
      <c r="J548" t="s">
        <v>30</v>
      </c>
      <c r="K548" s="45">
        <v>7</v>
      </c>
      <c r="L548">
        <f t="shared" si="198"/>
        <v>2016</v>
      </c>
      <c r="M548" s="15">
        <f t="shared" si="190"/>
        <v>2016.5833333333333</v>
      </c>
      <c r="N548" s="5">
        <v>23117.72</v>
      </c>
      <c r="O548" s="5">
        <f t="shared" si="199"/>
        <v>23117.72</v>
      </c>
      <c r="P548" s="5">
        <f t="shared" si="200"/>
        <v>275.21095238095239</v>
      </c>
      <c r="Q548" s="5">
        <f t="shared" si="193"/>
        <v>3302.5314285714285</v>
      </c>
      <c r="R548" s="5">
        <f t="shared" si="194"/>
        <v>0</v>
      </c>
      <c r="S548" s="5">
        <f t="shared" si="195"/>
        <v>23117.72</v>
      </c>
      <c r="T548" s="5">
        <f t="shared" si="196"/>
        <v>23117.72</v>
      </c>
      <c r="U548" s="5">
        <f t="shared" si="197"/>
        <v>0</v>
      </c>
    </row>
    <row r="549" spans="2:21">
      <c r="B549">
        <v>486</v>
      </c>
      <c r="C549" t="s">
        <v>302</v>
      </c>
      <c r="D549">
        <v>2181</v>
      </c>
      <c r="E549">
        <v>68211</v>
      </c>
      <c r="G549">
        <v>2009</v>
      </c>
      <c r="H549">
        <v>9</v>
      </c>
      <c r="I549">
        <v>0</v>
      </c>
      <c r="J549" t="s">
        <v>30</v>
      </c>
      <c r="K549" s="45">
        <v>7</v>
      </c>
      <c r="L549">
        <f t="shared" si="198"/>
        <v>2016</v>
      </c>
      <c r="M549" s="15">
        <f t="shared" si="190"/>
        <v>2016.75</v>
      </c>
      <c r="N549" s="5">
        <v>23308.959999999999</v>
      </c>
      <c r="O549" s="5">
        <f t="shared" si="199"/>
        <v>23308.959999999999</v>
      </c>
      <c r="P549" s="5">
        <f t="shared" si="200"/>
        <v>277.48761904761903</v>
      </c>
      <c r="Q549" s="5">
        <f t="shared" si="193"/>
        <v>3329.8514285714282</v>
      </c>
      <c r="R549" s="5">
        <f t="shared" si="194"/>
        <v>0</v>
      </c>
      <c r="S549" s="5">
        <f t="shared" si="195"/>
        <v>23308.959999999999</v>
      </c>
      <c r="T549" s="5">
        <f t="shared" si="196"/>
        <v>23308.959999999999</v>
      </c>
      <c r="U549" s="5">
        <f t="shared" si="197"/>
        <v>0</v>
      </c>
    </row>
    <row r="550" spans="2:21">
      <c r="B550">
        <v>486</v>
      </c>
      <c r="C550" t="s">
        <v>160</v>
      </c>
      <c r="E550">
        <v>68210</v>
      </c>
      <c r="G550">
        <v>2009</v>
      </c>
      <c r="H550">
        <v>9</v>
      </c>
      <c r="I550">
        <v>0</v>
      </c>
      <c r="J550" t="s">
        <v>30</v>
      </c>
      <c r="K550" s="45">
        <v>7</v>
      </c>
      <c r="L550">
        <f t="shared" si="198"/>
        <v>2016</v>
      </c>
      <c r="M550" s="15">
        <f t="shared" si="190"/>
        <v>2016.75</v>
      </c>
      <c r="N550" s="5">
        <v>23308.959999999999</v>
      </c>
      <c r="O550" s="5">
        <f t="shared" si="199"/>
        <v>23308.959999999999</v>
      </c>
      <c r="P550" s="5">
        <f t="shared" si="200"/>
        <v>277.48761904761903</v>
      </c>
      <c r="Q550" s="5">
        <f t="shared" si="193"/>
        <v>3329.8514285714282</v>
      </c>
      <c r="R550" s="5">
        <f t="shared" si="194"/>
        <v>0</v>
      </c>
      <c r="S550" s="5">
        <f t="shared" si="195"/>
        <v>23308.959999999999</v>
      </c>
      <c r="T550" s="5">
        <f t="shared" si="196"/>
        <v>23308.959999999999</v>
      </c>
      <c r="U550" s="5">
        <f t="shared" si="197"/>
        <v>0</v>
      </c>
    </row>
    <row r="551" spans="2:21">
      <c r="B551">
        <v>486</v>
      </c>
      <c r="C551" t="s">
        <v>302</v>
      </c>
      <c r="D551">
        <v>2181</v>
      </c>
      <c r="E551">
        <v>70658</v>
      </c>
      <c r="G551">
        <v>2009</v>
      </c>
      <c r="H551">
        <v>11</v>
      </c>
      <c r="I551">
        <v>0</v>
      </c>
      <c r="J551" t="s">
        <v>30</v>
      </c>
      <c r="K551" s="45">
        <v>7</v>
      </c>
      <c r="L551">
        <f t="shared" si="198"/>
        <v>2016</v>
      </c>
      <c r="M551" s="15">
        <f t="shared" si="190"/>
        <v>2016.9166666666667</v>
      </c>
      <c r="N551" s="5">
        <v>23622.38</v>
      </c>
      <c r="O551" s="5">
        <f t="shared" si="199"/>
        <v>23622.38</v>
      </c>
      <c r="P551" s="5">
        <f t="shared" si="200"/>
        <v>281.21880952380951</v>
      </c>
      <c r="Q551" s="5">
        <f t="shared" si="193"/>
        <v>3374.6257142857139</v>
      </c>
      <c r="R551" s="5">
        <f t="shared" si="194"/>
        <v>0</v>
      </c>
      <c r="S551" s="5">
        <f t="shared" si="195"/>
        <v>23622.38</v>
      </c>
      <c r="T551" s="5">
        <f t="shared" si="196"/>
        <v>23622.38</v>
      </c>
      <c r="U551" s="5">
        <f t="shared" si="197"/>
        <v>0</v>
      </c>
    </row>
    <row r="552" spans="2:21">
      <c r="B552">
        <v>486</v>
      </c>
      <c r="C552" t="s">
        <v>159</v>
      </c>
      <c r="E552">
        <v>69858</v>
      </c>
      <c r="G552">
        <v>2009</v>
      </c>
      <c r="H552">
        <v>11</v>
      </c>
      <c r="I552">
        <v>0</v>
      </c>
      <c r="J552" t="s">
        <v>30</v>
      </c>
      <c r="K552" s="45">
        <v>7</v>
      </c>
      <c r="L552">
        <f t="shared" si="198"/>
        <v>2016</v>
      </c>
      <c r="M552" s="15">
        <f t="shared" si="190"/>
        <v>2016.9166666666667</v>
      </c>
      <c r="N552" s="5">
        <v>23622.38</v>
      </c>
      <c r="O552" s="5">
        <f t="shared" si="199"/>
        <v>23622.38</v>
      </c>
      <c r="P552" s="5">
        <f t="shared" si="200"/>
        <v>281.21880952380951</v>
      </c>
      <c r="Q552" s="5">
        <f t="shared" si="193"/>
        <v>3374.6257142857139</v>
      </c>
      <c r="R552" s="5">
        <f t="shared" si="194"/>
        <v>0</v>
      </c>
      <c r="S552" s="5">
        <f t="shared" si="195"/>
        <v>23622.38</v>
      </c>
      <c r="T552" s="5">
        <f t="shared" si="196"/>
        <v>23622.38</v>
      </c>
      <c r="U552" s="5">
        <f t="shared" si="197"/>
        <v>0</v>
      </c>
    </row>
    <row r="553" spans="2:21">
      <c r="B553">
        <v>486</v>
      </c>
      <c r="C553" t="s">
        <v>159</v>
      </c>
      <c r="E553">
        <v>69857</v>
      </c>
      <c r="G553">
        <v>2009</v>
      </c>
      <c r="H553">
        <v>11</v>
      </c>
      <c r="I553">
        <v>0</v>
      </c>
      <c r="J553" t="s">
        <v>30</v>
      </c>
      <c r="K553" s="45">
        <v>7</v>
      </c>
      <c r="L553">
        <f t="shared" si="198"/>
        <v>2016</v>
      </c>
      <c r="M553" s="15">
        <f t="shared" si="190"/>
        <v>2016.9166666666667</v>
      </c>
      <c r="N553" s="5">
        <v>23622.38</v>
      </c>
      <c r="O553" s="5">
        <f t="shared" si="199"/>
        <v>23622.38</v>
      </c>
      <c r="P553" s="5">
        <f t="shared" si="200"/>
        <v>281.21880952380951</v>
      </c>
      <c r="Q553" s="5">
        <f t="shared" si="193"/>
        <v>3374.6257142857139</v>
      </c>
      <c r="R553" s="5">
        <f t="shared" si="194"/>
        <v>0</v>
      </c>
      <c r="S553" s="5">
        <f t="shared" si="195"/>
        <v>23622.38</v>
      </c>
      <c r="T553" s="5">
        <f t="shared" si="196"/>
        <v>23622.38</v>
      </c>
      <c r="U553" s="5">
        <f t="shared" si="197"/>
        <v>0</v>
      </c>
    </row>
    <row r="554" spans="2:21">
      <c r="B554">
        <v>437</v>
      </c>
      <c r="C554" t="s">
        <v>379</v>
      </c>
      <c r="E554">
        <v>76468</v>
      </c>
      <c r="G554">
        <v>2010</v>
      </c>
      <c r="H554">
        <v>6</v>
      </c>
      <c r="I554">
        <v>0</v>
      </c>
      <c r="J554" t="s">
        <v>30</v>
      </c>
      <c r="K554" s="45">
        <v>7</v>
      </c>
      <c r="L554">
        <f t="shared" si="198"/>
        <v>2017</v>
      </c>
      <c r="M554" s="15">
        <f t="shared" si="190"/>
        <v>2017.5</v>
      </c>
      <c r="N554" s="5">
        <v>23084.39</v>
      </c>
      <c r="O554" s="5">
        <f t="shared" si="199"/>
        <v>23084.39</v>
      </c>
      <c r="P554" s="5">
        <f t="shared" si="200"/>
        <v>274.81416666666667</v>
      </c>
      <c r="Q554" s="5">
        <f t="shared" si="193"/>
        <v>3297.77</v>
      </c>
      <c r="R554" s="5">
        <f t="shared" si="194"/>
        <v>0</v>
      </c>
      <c r="S554" s="5">
        <f t="shared" si="195"/>
        <v>23084.39</v>
      </c>
      <c r="T554" s="5">
        <f t="shared" si="196"/>
        <v>23084.39</v>
      </c>
      <c r="U554" s="5">
        <f t="shared" si="197"/>
        <v>0</v>
      </c>
    </row>
    <row r="555" spans="2:21">
      <c r="B555">
        <v>49</v>
      </c>
      <c r="C555" t="s">
        <v>379</v>
      </c>
      <c r="E555">
        <v>76469</v>
      </c>
      <c r="G555">
        <v>2010</v>
      </c>
      <c r="H555">
        <v>6</v>
      </c>
      <c r="I555">
        <v>0</v>
      </c>
      <c r="J555" t="s">
        <v>30</v>
      </c>
      <c r="K555" s="45">
        <v>7</v>
      </c>
      <c r="L555">
        <f t="shared" si="198"/>
        <v>2017</v>
      </c>
      <c r="M555" s="15">
        <f t="shared" si="190"/>
        <v>2017.5</v>
      </c>
      <c r="N555" s="5">
        <v>2588.4</v>
      </c>
      <c r="O555" s="5">
        <f t="shared" si="199"/>
        <v>2588.4</v>
      </c>
      <c r="P555" s="5">
        <f t="shared" si="200"/>
        <v>30.814285714285717</v>
      </c>
      <c r="Q555" s="5">
        <f t="shared" si="193"/>
        <v>369.7714285714286</v>
      </c>
      <c r="R555" s="5">
        <f t="shared" si="194"/>
        <v>0</v>
      </c>
      <c r="S555" s="5">
        <f t="shared" si="195"/>
        <v>2588.4</v>
      </c>
      <c r="T555" s="5">
        <f t="shared" si="196"/>
        <v>2588.4</v>
      </c>
      <c r="U555" s="5">
        <f t="shared" si="197"/>
        <v>0</v>
      </c>
    </row>
    <row r="556" spans="2:21">
      <c r="B556">
        <v>486</v>
      </c>
      <c r="C556" t="s">
        <v>379</v>
      </c>
      <c r="E556">
        <v>77550</v>
      </c>
      <c r="G556">
        <v>2010</v>
      </c>
      <c r="H556">
        <v>6</v>
      </c>
      <c r="I556">
        <v>0</v>
      </c>
      <c r="J556" t="s">
        <v>30</v>
      </c>
      <c r="K556" s="45">
        <v>7</v>
      </c>
      <c r="L556">
        <f t="shared" si="198"/>
        <v>2017</v>
      </c>
      <c r="M556" s="15">
        <f t="shared" si="190"/>
        <v>2017.5</v>
      </c>
      <c r="N556" s="5">
        <v>25672.799999999999</v>
      </c>
      <c r="O556" s="5">
        <f t="shared" si="199"/>
        <v>25672.799999999999</v>
      </c>
      <c r="P556" s="5">
        <f t="shared" si="200"/>
        <v>305.62857142857143</v>
      </c>
      <c r="Q556" s="5">
        <f t="shared" si="193"/>
        <v>3667.5428571428574</v>
      </c>
      <c r="R556" s="5">
        <f t="shared" si="194"/>
        <v>0</v>
      </c>
      <c r="S556" s="5">
        <f t="shared" si="195"/>
        <v>25672.799999999999</v>
      </c>
      <c r="T556" s="5">
        <f t="shared" si="196"/>
        <v>25672.799999999999</v>
      </c>
      <c r="U556" s="5">
        <f t="shared" si="197"/>
        <v>0</v>
      </c>
    </row>
    <row r="557" spans="2:21">
      <c r="B557">
        <v>486</v>
      </c>
      <c r="C557" t="s">
        <v>379</v>
      </c>
      <c r="E557">
        <v>77552</v>
      </c>
      <c r="G557">
        <v>2010</v>
      </c>
      <c r="H557">
        <v>9</v>
      </c>
      <c r="I557">
        <v>0</v>
      </c>
      <c r="J557" t="s">
        <v>30</v>
      </c>
      <c r="K557" s="45">
        <v>7</v>
      </c>
      <c r="L557">
        <f t="shared" si="198"/>
        <v>2017</v>
      </c>
      <c r="M557" s="15">
        <f t="shared" si="190"/>
        <v>2017.75</v>
      </c>
      <c r="N557" s="5">
        <v>24169.51</v>
      </c>
      <c r="O557" s="5">
        <f t="shared" si="199"/>
        <v>24169.51</v>
      </c>
      <c r="P557" s="5">
        <f t="shared" si="200"/>
        <v>287.73226190476186</v>
      </c>
      <c r="Q557" s="5">
        <f t="shared" si="193"/>
        <v>3452.7871428571425</v>
      </c>
      <c r="R557" s="5">
        <f t="shared" si="194"/>
        <v>0</v>
      </c>
      <c r="S557" s="5">
        <f t="shared" si="195"/>
        <v>24169.51</v>
      </c>
      <c r="T557" s="5">
        <f t="shared" si="196"/>
        <v>24169.51</v>
      </c>
      <c r="U557" s="5">
        <f t="shared" si="197"/>
        <v>0</v>
      </c>
    </row>
    <row r="558" spans="2:21">
      <c r="B558">
        <v>437</v>
      </c>
      <c r="C558" t="s">
        <v>379</v>
      </c>
      <c r="E558">
        <v>81513</v>
      </c>
      <c r="G558">
        <v>2011</v>
      </c>
      <c r="H558">
        <v>4</v>
      </c>
      <c r="I558">
        <v>0</v>
      </c>
      <c r="J558" t="s">
        <v>30</v>
      </c>
      <c r="K558" s="45">
        <v>7</v>
      </c>
      <c r="L558">
        <f t="shared" si="198"/>
        <v>2018</v>
      </c>
      <c r="M558" s="15">
        <f t="shared" si="190"/>
        <v>2018.3333333333333</v>
      </c>
      <c r="N558" s="5">
        <v>23146.47</v>
      </c>
      <c r="O558" s="5">
        <f t="shared" si="199"/>
        <v>23146.47</v>
      </c>
      <c r="P558" s="5">
        <f t="shared" si="200"/>
        <v>275.55321428571432</v>
      </c>
      <c r="Q558" s="5">
        <f t="shared" si="193"/>
        <v>3306.6385714285716</v>
      </c>
      <c r="R558" s="5">
        <f t="shared" si="194"/>
        <v>0</v>
      </c>
      <c r="S558" s="5">
        <f t="shared" si="195"/>
        <v>23146.47</v>
      </c>
      <c r="T558" s="5">
        <f t="shared" si="196"/>
        <v>23146.47</v>
      </c>
      <c r="U558" s="5">
        <f t="shared" si="197"/>
        <v>0</v>
      </c>
    </row>
    <row r="559" spans="2:21">
      <c r="B559">
        <f>486+49</f>
        <v>535</v>
      </c>
      <c r="C559" t="s">
        <v>379</v>
      </c>
      <c r="E559" t="s">
        <v>605</v>
      </c>
      <c r="G559">
        <v>2011</v>
      </c>
      <c r="H559">
        <v>4</v>
      </c>
      <c r="I559">
        <v>0</v>
      </c>
      <c r="J559" t="s">
        <v>30</v>
      </c>
      <c r="K559" s="45">
        <v>7</v>
      </c>
      <c r="L559">
        <f t="shared" si="198"/>
        <v>2018</v>
      </c>
      <c r="M559" s="15">
        <f t="shared" si="190"/>
        <v>2018.3333333333333</v>
      </c>
      <c r="N559" s="5">
        <f>25741.84+2595.37</f>
        <v>28337.21</v>
      </c>
      <c r="O559" s="5">
        <f t="shared" si="199"/>
        <v>28337.21</v>
      </c>
      <c r="P559" s="5">
        <f t="shared" si="200"/>
        <v>337.34773809523807</v>
      </c>
      <c r="Q559" s="5">
        <f t="shared" si="193"/>
        <v>4048.1728571428566</v>
      </c>
      <c r="R559" s="5">
        <f t="shared" si="194"/>
        <v>0</v>
      </c>
      <c r="S559" s="5">
        <f t="shared" si="195"/>
        <v>28337.21</v>
      </c>
      <c r="T559" s="5">
        <f t="shared" si="196"/>
        <v>28337.21</v>
      </c>
      <c r="U559" s="5">
        <f t="shared" si="197"/>
        <v>0</v>
      </c>
    </row>
    <row r="560" spans="2:21">
      <c r="B560">
        <v>63</v>
      </c>
      <c r="C560" t="s">
        <v>379</v>
      </c>
      <c r="E560">
        <v>86876</v>
      </c>
      <c r="G560">
        <v>2011</v>
      </c>
      <c r="H560">
        <v>9</v>
      </c>
      <c r="I560">
        <v>0</v>
      </c>
      <c r="J560" t="s">
        <v>30</v>
      </c>
      <c r="K560" s="45">
        <v>7</v>
      </c>
      <c r="L560">
        <f t="shared" si="198"/>
        <v>2018</v>
      </c>
      <c r="M560" s="15">
        <f t="shared" si="190"/>
        <v>2018.75</v>
      </c>
      <c r="N560" s="5">
        <v>3652.99</v>
      </c>
      <c r="O560" s="5">
        <f t="shared" si="199"/>
        <v>3652.99</v>
      </c>
      <c r="P560" s="5">
        <f t="shared" si="200"/>
        <v>43.487976190476189</v>
      </c>
      <c r="Q560" s="5">
        <f t="shared" si="193"/>
        <v>521.85571428571427</v>
      </c>
      <c r="R560" s="5">
        <f t="shared" si="194"/>
        <v>0</v>
      </c>
      <c r="S560" s="5">
        <f t="shared" si="195"/>
        <v>3652.99</v>
      </c>
      <c r="T560" s="5">
        <f t="shared" si="196"/>
        <v>3652.99</v>
      </c>
      <c r="U560" s="5">
        <f t="shared" si="197"/>
        <v>0</v>
      </c>
    </row>
    <row r="561" spans="2:21">
      <c r="B561">
        <v>486</v>
      </c>
      <c r="C561" t="s">
        <v>379</v>
      </c>
      <c r="E561">
        <v>86875</v>
      </c>
      <c r="G561">
        <v>2011</v>
      </c>
      <c r="H561">
        <v>9</v>
      </c>
      <c r="I561">
        <v>0</v>
      </c>
      <c r="J561" t="s">
        <v>30</v>
      </c>
      <c r="K561" s="45">
        <v>7</v>
      </c>
      <c r="L561">
        <f t="shared" si="198"/>
        <v>2018</v>
      </c>
      <c r="M561" s="15">
        <f t="shared" si="190"/>
        <v>2018.75</v>
      </c>
      <c r="N561" s="5">
        <v>28180.04</v>
      </c>
      <c r="O561" s="5">
        <f t="shared" si="199"/>
        <v>28180.04</v>
      </c>
      <c r="P561" s="5">
        <f t="shared" si="200"/>
        <v>335.47666666666669</v>
      </c>
      <c r="Q561" s="5">
        <f t="shared" si="193"/>
        <v>4025.7200000000003</v>
      </c>
      <c r="R561" s="5">
        <f t="shared" si="194"/>
        <v>0</v>
      </c>
      <c r="S561" s="5">
        <f t="shared" si="195"/>
        <v>28180.04</v>
      </c>
      <c r="T561" s="5">
        <f t="shared" si="196"/>
        <v>28180.04</v>
      </c>
      <c r="U561" s="5">
        <f t="shared" si="197"/>
        <v>0</v>
      </c>
    </row>
    <row r="562" spans="2:21">
      <c r="B562">
        <f>486+486</f>
        <v>972</v>
      </c>
      <c r="C562" t="s">
        <v>379</v>
      </c>
      <c r="E562" t="s">
        <v>637</v>
      </c>
      <c r="G562">
        <v>2012</v>
      </c>
      <c r="H562">
        <v>5</v>
      </c>
      <c r="I562">
        <v>0</v>
      </c>
      <c r="J562" t="s">
        <v>30</v>
      </c>
      <c r="K562" s="45">
        <v>7</v>
      </c>
      <c r="L562">
        <f t="shared" si="198"/>
        <v>2019</v>
      </c>
      <c r="M562" s="15">
        <f t="shared" si="190"/>
        <v>2019.4166666666667</v>
      </c>
      <c r="N562" s="5">
        <f>25590+25590</f>
        <v>51180</v>
      </c>
      <c r="O562" s="5">
        <f t="shared" si="199"/>
        <v>51180</v>
      </c>
      <c r="P562" s="5">
        <f t="shared" si="200"/>
        <v>609.28571428571433</v>
      </c>
      <c r="Q562" s="5">
        <f t="shared" si="193"/>
        <v>7311.4285714285725</v>
      </c>
      <c r="R562" s="5">
        <f t="shared" si="194"/>
        <v>3046.4285714285716</v>
      </c>
      <c r="S562" s="5">
        <f t="shared" si="195"/>
        <v>43868.571428571435</v>
      </c>
      <c r="T562" s="5">
        <f t="shared" si="196"/>
        <v>46915.000000000007</v>
      </c>
      <c r="U562" s="5">
        <f t="shared" si="197"/>
        <v>4264.9999999999927</v>
      </c>
    </row>
    <row r="563" spans="2:21">
      <c r="B563">
        <f>486+486</f>
        <v>972</v>
      </c>
      <c r="C563" t="s">
        <v>379</v>
      </c>
      <c r="E563" t="s">
        <v>640</v>
      </c>
      <c r="G563">
        <v>2012</v>
      </c>
      <c r="H563">
        <v>8</v>
      </c>
      <c r="I563">
        <v>0</v>
      </c>
      <c r="J563" t="s">
        <v>30</v>
      </c>
      <c r="K563" s="45">
        <v>7</v>
      </c>
      <c r="L563">
        <f t="shared" si="198"/>
        <v>2019</v>
      </c>
      <c r="M563" s="15">
        <f t="shared" si="190"/>
        <v>2019.6666666666667</v>
      </c>
      <c r="N563" s="5">
        <f>26015*2</f>
        <v>52030</v>
      </c>
      <c r="O563" s="5">
        <f t="shared" si="199"/>
        <v>52030</v>
      </c>
      <c r="P563" s="5">
        <f t="shared" si="200"/>
        <v>619.40476190476193</v>
      </c>
      <c r="Q563" s="5">
        <f t="shared" si="193"/>
        <v>7432.8571428571431</v>
      </c>
      <c r="R563" s="5">
        <f t="shared" si="194"/>
        <v>4955.2380952380954</v>
      </c>
      <c r="S563" s="5">
        <f t="shared" si="195"/>
        <v>44597.142857142855</v>
      </c>
      <c r="T563" s="5">
        <f t="shared" si="196"/>
        <v>49552.380952380947</v>
      </c>
      <c r="U563" s="5">
        <f t="shared" si="197"/>
        <v>2477.6190476190532</v>
      </c>
    </row>
    <row r="564" spans="2:21">
      <c r="B564">
        <v>972</v>
      </c>
      <c r="C564" t="s">
        <v>379</v>
      </c>
      <c r="E564" t="s">
        <v>665</v>
      </c>
      <c r="G564">
        <v>2013</v>
      </c>
      <c r="H564">
        <v>3</v>
      </c>
      <c r="I564">
        <v>0</v>
      </c>
      <c r="J564" t="s">
        <v>30</v>
      </c>
      <c r="K564" s="45">
        <v>7</v>
      </c>
      <c r="L564">
        <f t="shared" si="198"/>
        <v>2020</v>
      </c>
      <c r="M564" s="15">
        <f t="shared" si="190"/>
        <v>2020.25</v>
      </c>
      <c r="N564" s="5">
        <v>52317.52</v>
      </c>
      <c r="O564" s="5">
        <f t="shared" si="199"/>
        <v>52317.52</v>
      </c>
      <c r="P564" s="5">
        <f t="shared" si="200"/>
        <v>622.82761904761901</v>
      </c>
      <c r="Q564" s="5">
        <f t="shared" si="193"/>
        <v>7473.9314285714281</v>
      </c>
      <c r="R564" s="5">
        <f t="shared" si="194"/>
        <v>7473.9314285714281</v>
      </c>
      <c r="S564" s="5">
        <f t="shared" si="195"/>
        <v>37369.657142857141</v>
      </c>
      <c r="T564" s="5">
        <f t="shared" si="196"/>
        <v>44843.588571428569</v>
      </c>
      <c r="U564" s="5">
        <f t="shared" si="197"/>
        <v>7473.9314285714281</v>
      </c>
    </row>
    <row r="565" spans="2:21">
      <c r="B565">
        <v>486</v>
      </c>
      <c r="C565" t="s">
        <v>379</v>
      </c>
      <c r="E565">
        <v>106304</v>
      </c>
      <c r="G565">
        <v>2013</v>
      </c>
      <c r="H565">
        <v>7</v>
      </c>
      <c r="I565">
        <v>0</v>
      </c>
      <c r="J565" t="s">
        <v>30</v>
      </c>
      <c r="K565" s="45">
        <v>7</v>
      </c>
      <c r="L565">
        <f t="shared" si="198"/>
        <v>2020</v>
      </c>
      <c r="M565" s="15">
        <f t="shared" si="190"/>
        <v>2020.5833333333333</v>
      </c>
      <c r="N565" s="5">
        <v>26930.76</v>
      </c>
      <c r="O565" s="5">
        <f t="shared" si="199"/>
        <v>26930.76</v>
      </c>
      <c r="P565" s="5">
        <f t="shared" si="200"/>
        <v>320.60428571428571</v>
      </c>
      <c r="Q565" s="5">
        <f t="shared" si="193"/>
        <v>3847.2514285714287</v>
      </c>
      <c r="R565" s="5">
        <f t="shared" si="194"/>
        <v>3847.2514285714287</v>
      </c>
      <c r="S565" s="5">
        <f t="shared" si="195"/>
        <v>19236.257142857143</v>
      </c>
      <c r="T565" s="5">
        <f t="shared" si="196"/>
        <v>23083.508571428571</v>
      </c>
      <c r="U565" s="5">
        <f t="shared" si="197"/>
        <v>3847.2514285714278</v>
      </c>
    </row>
    <row r="566" spans="2:21">
      <c r="B566">
        <v>486</v>
      </c>
      <c r="C566" t="s">
        <v>379</v>
      </c>
      <c r="E566">
        <v>107427</v>
      </c>
      <c r="G566">
        <v>2013</v>
      </c>
      <c r="H566">
        <v>9</v>
      </c>
      <c r="I566">
        <v>0</v>
      </c>
      <c r="J566" t="s">
        <v>30</v>
      </c>
      <c r="K566" s="45">
        <v>7</v>
      </c>
      <c r="L566">
        <f t="shared" si="198"/>
        <v>2020</v>
      </c>
      <c r="M566" s="15">
        <f t="shared" si="190"/>
        <v>2020.75</v>
      </c>
      <c r="N566" s="5">
        <v>26930.76</v>
      </c>
      <c r="O566" s="5">
        <f t="shared" si="199"/>
        <v>26930.76</v>
      </c>
      <c r="P566" s="5">
        <f t="shared" si="200"/>
        <v>320.60428571428571</v>
      </c>
      <c r="Q566" s="5">
        <f t="shared" si="193"/>
        <v>3847.2514285714287</v>
      </c>
      <c r="R566" s="5">
        <f t="shared" si="194"/>
        <v>3847.2514285714287</v>
      </c>
      <c r="S566" s="5">
        <f t="shared" si="195"/>
        <v>19236.257142857143</v>
      </c>
      <c r="T566" s="5">
        <f t="shared" si="196"/>
        <v>23083.508571428571</v>
      </c>
      <c r="U566" s="5">
        <f t="shared" si="197"/>
        <v>3847.2514285714278</v>
      </c>
    </row>
    <row r="567" spans="2:21">
      <c r="B567">
        <v>486</v>
      </c>
      <c r="C567" t="s">
        <v>704</v>
      </c>
      <c r="E567">
        <v>111489</v>
      </c>
      <c r="G567">
        <v>2014</v>
      </c>
      <c r="H567">
        <v>3</v>
      </c>
      <c r="I567">
        <v>0</v>
      </c>
      <c r="J567" t="s">
        <v>30</v>
      </c>
      <c r="K567" s="45">
        <v>7</v>
      </c>
      <c r="L567">
        <f t="shared" si="198"/>
        <v>2021</v>
      </c>
      <c r="M567" s="15">
        <f t="shared" si="190"/>
        <v>2021.25</v>
      </c>
      <c r="N567" s="5">
        <v>26672.25</v>
      </c>
      <c r="O567" s="5">
        <f t="shared" si="199"/>
        <v>26672.25</v>
      </c>
      <c r="P567" s="5">
        <f t="shared" si="200"/>
        <v>317.52678571428572</v>
      </c>
      <c r="Q567" s="5">
        <f t="shared" si="193"/>
        <v>3810.3214285714284</v>
      </c>
      <c r="R567" s="5">
        <f t="shared" si="194"/>
        <v>3810.3214285714284</v>
      </c>
      <c r="S567" s="5">
        <f t="shared" si="195"/>
        <v>15241.285714285714</v>
      </c>
      <c r="T567" s="5">
        <f t="shared" si="196"/>
        <v>19051.607142857141</v>
      </c>
      <c r="U567" s="5">
        <f t="shared" si="197"/>
        <v>7620.6428571428587</v>
      </c>
    </row>
    <row r="568" spans="2:21">
      <c r="B568">
        <f>486*2</f>
        <v>972</v>
      </c>
      <c r="C568" t="s">
        <v>704</v>
      </c>
      <c r="E568" t="s">
        <v>714</v>
      </c>
      <c r="G568">
        <v>2014</v>
      </c>
      <c r="H568">
        <v>7</v>
      </c>
      <c r="I568">
        <v>0</v>
      </c>
      <c r="J568" t="s">
        <v>30</v>
      </c>
      <c r="K568" s="45">
        <v>7</v>
      </c>
      <c r="L568">
        <f t="shared" si="198"/>
        <v>2021</v>
      </c>
      <c r="M568" s="15">
        <f t="shared" si="190"/>
        <v>2021.5833333333333</v>
      </c>
      <c r="N568" s="5">
        <f>28368.38*2</f>
        <v>56736.76</v>
      </c>
      <c r="O568" s="5">
        <f t="shared" si="199"/>
        <v>56736.76</v>
      </c>
      <c r="P568" s="5">
        <f t="shared" si="200"/>
        <v>675.43761904761902</v>
      </c>
      <c r="Q568" s="5">
        <f t="shared" si="193"/>
        <v>8105.2514285714278</v>
      </c>
      <c r="R568" s="5">
        <f t="shared" si="194"/>
        <v>8105.2514285714278</v>
      </c>
      <c r="S568" s="5">
        <f t="shared" si="195"/>
        <v>32421.005714285711</v>
      </c>
      <c r="T568" s="5">
        <f t="shared" si="196"/>
        <v>40526.257142857139</v>
      </c>
      <c r="U568" s="5">
        <f t="shared" si="197"/>
        <v>16210.502857142863</v>
      </c>
    </row>
    <row r="569" spans="2:21">
      <c r="B569">
        <v>486</v>
      </c>
      <c r="C569" t="s">
        <v>704</v>
      </c>
      <c r="E569">
        <v>116969</v>
      </c>
      <c r="G569">
        <v>2014</v>
      </c>
      <c r="H569">
        <v>10</v>
      </c>
      <c r="I569">
        <v>0</v>
      </c>
      <c r="J569" t="s">
        <v>30</v>
      </c>
      <c r="K569" s="45">
        <v>7</v>
      </c>
      <c r="L569">
        <f t="shared" si="198"/>
        <v>2021</v>
      </c>
      <c r="M569" s="15">
        <f t="shared" si="190"/>
        <v>2021.8333333333333</v>
      </c>
      <c r="N569" s="5">
        <v>27750.61</v>
      </c>
      <c r="O569" s="5">
        <f t="shared" si="199"/>
        <v>27750.61</v>
      </c>
      <c r="P569" s="5">
        <f t="shared" si="200"/>
        <v>330.36440476190478</v>
      </c>
      <c r="Q569" s="5">
        <f t="shared" si="193"/>
        <v>3964.3728571428574</v>
      </c>
      <c r="R569" s="5">
        <f t="shared" si="194"/>
        <v>3964.3728571428574</v>
      </c>
      <c r="S569" s="5">
        <f t="shared" si="195"/>
        <v>15857.491428571429</v>
      </c>
      <c r="T569" s="5">
        <f t="shared" si="196"/>
        <v>19821.864285714288</v>
      </c>
      <c r="U569" s="5">
        <f t="shared" si="197"/>
        <v>7928.7457142857129</v>
      </c>
    </row>
    <row r="570" spans="2:21">
      <c r="B570">
        <v>486</v>
      </c>
      <c r="C570" t="s">
        <v>704</v>
      </c>
      <c r="E570">
        <v>122195</v>
      </c>
      <c r="G570">
        <v>2015</v>
      </c>
      <c r="H570">
        <v>1</v>
      </c>
      <c r="I570">
        <v>0</v>
      </c>
      <c r="J570" t="s">
        <v>30</v>
      </c>
      <c r="K570" s="45">
        <v>7</v>
      </c>
      <c r="L570">
        <f t="shared" si="198"/>
        <v>2022</v>
      </c>
      <c r="M570" s="15">
        <f t="shared" si="190"/>
        <v>2022.0833333333333</v>
      </c>
      <c r="N570" s="5">
        <v>27796.59</v>
      </c>
      <c r="O570" s="5">
        <f t="shared" si="199"/>
        <v>27796.59</v>
      </c>
      <c r="P570" s="5">
        <f t="shared" si="200"/>
        <v>330.91178571428571</v>
      </c>
      <c r="Q570" s="5">
        <f t="shared" si="193"/>
        <v>3970.9414285714283</v>
      </c>
      <c r="R570" s="5">
        <f t="shared" si="194"/>
        <v>3970.9414285714283</v>
      </c>
      <c r="S570" s="5">
        <f t="shared" si="195"/>
        <v>11912.824285714285</v>
      </c>
      <c r="T570" s="5">
        <f t="shared" si="196"/>
        <v>15883.765714285713</v>
      </c>
      <c r="U570" s="5">
        <f t="shared" si="197"/>
        <v>11912.824285714287</v>
      </c>
    </row>
    <row r="571" spans="2:21">
      <c r="B571">
        <v>486</v>
      </c>
      <c r="C571" t="s">
        <v>704</v>
      </c>
      <c r="E571">
        <v>122196</v>
      </c>
      <c r="G571">
        <v>2015</v>
      </c>
      <c r="H571">
        <v>1</v>
      </c>
      <c r="I571">
        <v>0</v>
      </c>
      <c r="J571" t="s">
        <v>30</v>
      </c>
      <c r="K571" s="45">
        <v>7</v>
      </c>
      <c r="L571">
        <f t="shared" ref="L571:L576" si="201">G571+K571</f>
        <v>2022</v>
      </c>
      <c r="M571" s="15">
        <f t="shared" si="190"/>
        <v>2022.0833333333333</v>
      </c>
      <c r="N571" s="5">
        <v>27796.59</v>
      </c>
      <c r="O571" s="5">
        <f t="shared" si="199"/>
        <v>27796.59</v>
      </c>
      <c r="P571" s="5">
        <f t="shared" si="200"/>
        <v>330.91178571428571</v>
      </c>
      <c r="Q571" s="5">
        <f t="shared" si="193"/>
        <v>3970.9414285714283</v>
      </c>
      <c r="R571" s="5">
        <f t="shared" si="194"/>
        <v>3970.9414285714283</v>
      </c>
      <c r="S571" s="5">
        <f t="shared" si="195"/>
        <v>11912.824285714285</v>
      </c>
      <c r="T571" s="5">
        <f t="shared" si="196"/>
        <v>15883.765714285713</v>
      </c>
      <c r="U571" s="5">
        <f t="shared" si="197"/>
        <v>11912.824285714287</v>
      </c>
    </row>
    <row r="572" spans="2:21">
      <c r="B572">
        <v>624</v>
      </c>
      <c r="C572" t="s">
        <v>704</v>
      </c>
      <c r="E572">
        <v>122695</v>
      </c>
      <c r="G572">
        <v>2015</v>
      </c>
      <c r="H572">
        <v>5</v>
      </c>
      <c r="I572">
        <v>0</v>
      </c>
      <c r="J572" t="s">
        <v>30</v>
      </c>
      <c r="K572" s="45">
        <v>7</v>
      </c>
      <c r="L572">
        <f t="shared" si="201"/>
        <v>2022</v>
      </c>
      <c r="M572" s="15">
        <f t="shared" si="190"/>
        <v>2022.4166666666667</v>
      </c>
      <c r="N572" s="5">
        <v>32729.22</v>
      </c>
      <c r="O572" s="5">
        <f t="shared" si="199"/>
        <v>32729.22</v>
      </c>
      <c r="P572" s="5">
        <f t="shared" si="200"/>
        <v>389.63357142857143</v>
      </c>
      <c r="Q572" s="5">
        <f t="shared" si="193"/>
        <v>4675.6028571428569</v>
      </c>
      <c r="R572" s="5">
        <f t="shared" si="194"/>
        <v>4675.6028571428569</v>
      </c>
      <c r="S572" s="5">
        <f t="shared" si="195"/>
        <v>14026.80857142857</v>
      </c>
      <c r="T572" s="5">
        <f t="shared" si="196"/>
        <v>18702.411428571428</v>
      </c>
      <c r="U572" s="5">
        <f t="shared" si="197"/>
        <v>14026.808571428573</v>
      </c>
    </row>
    <row r="573" spans="2:21">
      <c r="B573">
        <v>624</v>
      </c>
      <c r="C573" t="s">
        <v>704</v>
      </c>
      <c r="E573">
        <v>123054</v>
      </c>
      <c r="G573">
        <v>2015</v>
      </c>
      <c r="H573">
        <v>5</v>
      </c>
      <c r="I573">
        <v>0</v>
      </c>
      <c r="J573" t="s">
        <v>30</v>
      </c>
      <c r="K573" s="45">
        <v>7</v>
      </c>
      <c r="L573">
        <f t="shared" si="201"/>
        <v>2022</v>
      </c>
      <c r="M573" s="15">
        <f t="shared" si="190"/>
        <v>2022.4166666666667</v>
      </c>
      <c r="N573" s="5">
        <v>32729.22</v>
      </c>
      <c r="O573" s="5">
        <f t="shared" si="199"/>
        <v>32729.22</v>
      </c>
      <c r="P573" s="5">
        <f t="shared" si="200"/>
        <v>389.63357142857143</v>
      </c>
      <c r="Q573" s="5">
        <f t="shared" si="193"/>
        <v>4675.6028571428569</v>
      </c>
      <c r="R573" s="5">
        <f t="shared" si="194"/>
        <v>4675.6028571428569</v>
      </c>
      <c r="S573" s="5">
        <f t="shared" si="195"/>
        <v>14026.80857142857</v>
      </c>
      <c r="T573" s="5">
        <f t="shared" si="196"/>
        <v>18702.411428571428</v>
      </c>
      <c r="U573" s="5">
        <f t="shared" si="197"/>
        <v>14026.808571428573</v>
      </c>
    </row>
    <row r="574" spans="2:21">
      <c r="B574">
        <f>624*2</f>
        <v>1248</v>
      </c>
      <c r="C574" t="s">
        <v>704</v>
      </c>
      <c r="E574" t="s">
        <v>789</v>
      </c>
      <c r="G574">
        <v>2015</v>
      </c>
      <c r="H574">
        <v>8</v>
      </c>
      <c r="I574">
        <v>0</v>
      </c>
      <c r="J574" t="s">
        <v>30</v>
      </c>
      <c r="K574" s="45">
        <v>7</v>
      </c>
      <c r="L574">
        <f t="shared" si="201"/>
        <v>2022</v>
      </c>
      <c r="M574" s="15">
        <f t="shared" ref="M574:M588" si="202">+L574+(H574/12)</f>
        <v>2022.6666666666667</v>
      </c>
      <c r="N574" s="5">
        <f>34841.59+30890.5</f>
        <v>65732.09</v>
      </c>
      <c r="O574" s="5">
        <f t="shared" ref="O574:O588" si="203">N574-N574*I574</f>
        <v>65732.09</v>
      </c>
      <c r="P574" s="5">
        <f t="shared" ref="P574:P588" si="204">O574/K574/12</f>
        <v>782.52488095238095</v>
      </c>
      <c r="Q574" s="5">
        <f t="shared" ref="Q574:Q588" si="205">P574*12</f>
        <v>9390.2985714285714</v>
      </c>
      <c r="R574" s="5">
        <f t="shared" si="194"/>
        <v>9390.2985714285714</v>
      </c>
      <c r="S574" s="5">
        <f t="shared" si="195"/>
        <v>28170.895714285714</v>
      </c>
      <c r="T574" s="5">
        <f t="shared" si="196"/>
        <v>37561.194285714286</v>
      </c>
      <c r="U574" s="5">
        <f t="shared" si="197"/>
        <v>28170.895714285711</v>
      </c>
    </row>
    <row r="575" spans="2:21">
      <c r="B575">
        <v>624</v>
      </c>
      <c r="C575" t="s">
        <v>809</v>
      </c>
      <c r="E575">
        <v>128768</v>
      </c>
      <c r="G575">
        <v>2015</v>
      </c>
      <c r="H575">
        <v>5</v>
      </c>
      <c r="I575">
        <v>0</v>
      </c>
      <c r="J575" t="s">
        <v>30</v>
      </c>
      <c r="K575" s="45">
        <v>7</v>
      </c>
      <c r="L575">
        <f t="shared" si="201"/>
        <v>2022</v>
      </c>
      <c r="M575" s="15">
        <f t="shared" si="202"/>
        <v>2022.4166666666667</v>
      </c>
      <c r="N575" s="5">
        <v>32423.49</v>
      </c>
      <c r="O575" s="5">
        <f t="shared" si="203"/>
        <v>32423.49</v>
      </c>
      <c r="P575" s="5">
        <f t="shared" si="204"/>
        <v>385.99392857142857</v>
      </c>
      <c r="Q575" s="5">
        <f t="shared" si="205"/>
        <v>4631.9271428571428</v>
      </c>
      <c r="R575" s="5">
        <f t="shared" ref="R575:R593" si="206">+IF(M575&lt;=$O$5,0,IF(L575&gt;$O$4,Q575,(P575*H575)))</f>
        <v>4631.9271428571428</v>
      </c>
      <c r="S575" s="5">
        <f t="shared" ref="S575:S593" si="207">+IF(R575=0,N575,IF($O$3-G575&lt;1,0,(($O$3-G575)*Q575)))</f>
        <v>13895.781428571428</v>
      </c>
      <c r="T575" s="5">
        <f t="shared" ref="T575:T593" si="208">+IF(R575=0,S575,S575+R575)</f>
        <v>18527.708571428571</v>
      </c>
      <c r="U575" s="5">
        <f t="shared" ref="U575:U593" si="209">+N575-T575</f>
        <v>13895.78142857143</v>
      </c>
    </row>
    <row r="576" spans="2:21">
      <c r="B576">
        <v>624</v>
      </c>
      <c r="C576" t="s">
        <v>704</v>
      </c>
      <c r="E576">
        <v>130762</v>
      </c>
      <c r="G576">
        <v>2016</v>
      </c>
      <c r="H576">
        <v>2</v>
      </c>
      <c r="I576">
        <v>0</v>
      </c>
      <c r="J576" t="s">
        <v>30</v>
      </c>
      <c r="K576" s="45">
        <v>7</v>
      </c>
      <c r="L576">
        <f t="shared" si="201"/>
        <v>2023</v>
      </c>
      <c r="M576" s="15">
        <f t="shared" si="202"/>
        <v>2023.1666666666667</v>
      </c>
      <c r="N576" s="5">
        <v>31260.11</v>
      </c>
      <c r="O576" s="5">
        <f t="shared" si="203"/>
        <v>31260.11</v>
      </c>
      <c r="P576" s="5">
        <f t="shared" si="204"/>
        <v>372.14416666666671</v>
      </c>
      <c r="Q576" s="5">
        <f t="shared" si="205"/>
        <v>4465.7300000000005</v>
      </c>
      <c r="R576" s="5">
        <f t="shared" si="206"/>
        <v>4465.7300000000005</v>
      </c>
      <c r="S576" s="5">
        <f t="shared" si="207"/>
        <v>8931.4600000000009</v>
      </c>
      <c r="T576" s="5">
        <f t="shared" si="208"/>
        <v>13397.190000000002</v>
      </c>
      <c r="U576" s="5">
        <f t="shared" si="209"/>
        <v>17862.919999999998</v>
      </c>
    </row>
    <row r="577" spans="2:21">
      <c r="B577">
        <v>624</v>
      </c>
      <c r="C577" t="s">
        <v>704</v>
      </c>
      <c r="E577">
        <v>131755</v>
      </c>
      <c r="G577">
        <v>2016</v>
      </c>
      <c r="H577">
        <v>2</v>
      </c>
      <c r="I577">
        <v>0</v>
      </c>
      <c r="J577" t="s">
        <v>30</v>
      </c>
      <c r="K577" s="45">
        <v>7</v>
      </c>
      <c r="L577">
        <f t="shared" ref="L577:L588" si="210">G577+K577</f>
        <v>2023</v>
      </c>
      <c r="M577" s="15">
        <f t="shared" si="202"/>
        <v>2023.1666666666667</v>
      </c>
      <c r="N577" s="5">
        <v>31260.11</v>
      </c>
      <c r="O577" s="5">
        <f t="shared" si="203"/>
        <v>31260.11</v>
      </c>
      <c r="P577" s="5">
        <f t="shared" si="204"/>
        <v>372.14416666666671</v>
      </c>
      <c r="Q577" s="5">
        <f t="shared" si="205"/>
        <v>4465.7300000000005</v>
      </c>
      <c r="R577" s="5">
        <f t="shared" si="206"/>
        <v>4465.7300000000005</v>
      </c>
      <c r="S577" s="5">
        <f t="shared" si="207"/>
        <v>8931.4600000000009</v>
      </c>
      <c r="T577" s="5">
        <f t="shared" si="208"/>
        <v>13397.190000000002</v>
      </c>
      <c r="U577" s="5">
        <f t="shared" si="209"/>
        <v>17862.919999999998</v>
      </c>
    </row>
    <row r="578" spans="2:21">
      <c r="B578">
        <v>864</v>
      </c>
      <c r="C578" t="s">
        <v>704</v>
      </c>
      <c r="E578">
        <v>131778</v>
      </c>
      <c r="G578">
        <v>2016</v>
      </c>
      <c r="H578">
        <v>2</v>
      </c>
      <c r="I578">
        <v>0</v>
      </c>
      <c r="J578" t="s">
        <v>30</v>
      </c>
      <c r="K578" s="45">
        <v>7</v>
      </c>
      <c r="L578">
        <f t="shared" si="210"/>
        <v>2023</v>
      </c>
      <c r="M578" s="15">
        <f t="shared" si="202"/>
        <v>2023.1666666666667</v>
      </c>
      <c r="N578" s="5">
        <v>36644.400000000001</v>
      </c>
      <c r="O578" s="5">
        <f t="shared" si="203"/>
        <v>36644.400000000001</v>
      </c>
      <c r="P578" s="5">
        <f t="shared" si="204"/>
        <v>436.24285714285719</v>
      </c>
      <c r="Q578" s="5">
        <f t="shared" si="205"/>
        <v>5234.9142857142861</v>
      </c>
      <c r="R578" s="5">
        <f t="shared" si="206"/>
        <v>5234.9142857142861</v>
      </c>
      <c r="S578" s="5">
        <f t="shared" si="207"/>
        <v>10469.828571428572</v>
      </c>
      <c r="T578" s="5">
        <f t="shared" si="208"/>
        <v>15704.742857142857</v>
      </c>
      <c r="U578" s="5">
        <f t="shared" si="209"/>
        <v>20939.657142857144</v>
      </c>
    </row>
    <row r="579" spans="2:21">
      <c r="B579">
        <v>1008</v>
      </c>
      <c r="C579" t="s">
        <v>704</v>
      </c>
      <c r="E579">
        <v>132892</v>
      </c>
      <c r="G579">
        <v>2016</v>
      </c>
      <c r="H579">
        <v>4</v>
      </c>
      <c r="I579">
        <v>0</v>
      </c>
      <c r="J579" t="s">
        <v>30</v>
      </c>
      <c r="K579" s="45">
        <v>7</v>
      </c>
      <c r="L579">
        <f t="shared" si="210"/>
        <v>2023</v>
      </c>
      <c r="M579" s="15">
        <f t="shared" si="202"/>
        <v>2023.3333333333333</v>
      </c>
      <c r="N579" s="5">
        <v>51665.81</v>
      </c>
      <c r="O579" s="5">
        <f t="shared" si="203"/>
        <v>51665.81</v>
      </c>
      <c r="P579" s="5">
        <f t="shared" si="204"/>
        <v>615.06916666666666</v>
      </c>
      <c r="Q579" s="5">
        <f t="shared" si="205"/>
        <v>7380.83</v>
      </c>
      <c r="R579" s="5">
        <f t="shared" si="206"/>
        <v>7380.83</v>
      </c>
      <c r="S579" s="5">
        <f t="shared" si="207"/>
        <v>14761.66</v>
      </c>
      <c r="T579" s="5">
        <f t="shared" si="208"/>
        <v>22142.489999999998</v>
      </c>
      <c r="U579" s="5">
        <f t="shared" si="209"/>
        <v>29523.32</v>
      </c>
    </row>
    <row r="580" spans="2:21">
      <c r="B580">
        <v>486</v>
      </c>
      <c r="C580" t="s">
        <v>704</v>
      </c>
      <c r="E580">
        <v>170189</v>
      </c>
      <c r="G580">
        <v>2016</v>
      </c>
      <c r="H580">
        <v>10</v>
      </c>
      <c r="I580">
        <v>0</v>
      </c>
      <c r="J580" t="s">
        <v>30</v>
      </c>
      <c r="K580" s="45">
        <v>7</v>
      </c>
      <c r="L580">
        <f t="shared" si="210"/>
        <v>2023</v>
      </c>
      <c r="M580" s="15">
        <f t="shared" si="202"/>
        <v>2023.8333333333333</v>
      </c>
      <c r="N580" s="5">
        <v>25718.36</v>
      </c>
      <c r="O580" s="5">
        <f t="shared" si="203"/>
        <v>25718.36</v>
      </c>
      <c r="P580" s="5">
        <f t="shared" si="204"/>
        <v>306.17095238095237</v>
      </c>
      <c r="Q580" s="5">
        <f t="shared" si="205"/>
        <v>3674.0514285714285</v>
      </c>
      <c r="R580" s="5">
        <f t="shared" si="206"/>
        <v>3674.0514285714285</v>
      </c>
      <c r="S580" s="5">
        <f t="shared" si="207"/>
        <v>7348.1028571428569</v>
      </c>
      <c r="T580" s="5">
        <f t="shared" si="208"/>
        <v>11022.154285714285</v>
      </c>
      <c r="U580" s="5">
        <f t="shared" si="209"/>
        <v>14696.205714285716</v>
      </c>
    </row>
    <row r="581" spans="2:21">
      <c r="B581">
        <v>486</v>
      </c>
      <c r="C581" t="s">
        <v>704</v>
      </c>
      <c r="E581">
        <v>170190</v>
      </c>
      <c r="G581">
        <v>2016</v>
      </c>
      <c r="H581">
        <v>10</v>
      </c>
      <c r="I581">
        <v>0</v>
      </c>
      <c r="J581" t="s">
        <v>30</v>
      </c>
      <c r="K581" s="45">
        <v>7</v>
      </c>
      <c r="L581">
        <f t="shared" si="210"/>
        <v>2023</v>
      </c>
      <c r="M581" s="15">
        <f t="shared" si="202"/>
        <v>2023.8333333333333</v>
      </c>
      <c r="N581" s="5">
        <v>25718.36</v>
      </c>
      <c r="O581" s="5">
        <f t="shared" si="203"/>
        <v>25718.36</v>
      </c>
      <c r="P581" s="5">
        <f t="shared" si="204"/>
        <v>306.17095238095237</v>
      </c>
      <c r="Q581" s="5">
        <f t="shared" si="205"/>
        <v>3674.0514285714285</v>
      </c>
      <c r="R581" s="5">
        <f t="shared" si="206"/>
        <v>3674.0514285714285</v>
      </c>
      <c r="S581" s="5">
        <f t="shared" si="207"/>
        <v>7348.1028571428569</v>
      </c>
      <c r="T581" s="5">
        <f t="shared" si="208"/>
        <v>11022.154285714285</v>
      </c>
      <c r="U581" s="5">
        <f t="shared" si="209"/>
        <v>14696.205714285716</v>
      </c>
    </row>
    <row r="582" spans="2:21">
      <c r="B582">
        <v>702</v>
      </c>
      <c r="C582" t="s">
        <v>704</v>
      </c>
      <c r="E582">
        <v>181675</v>
      </c>
      <c r="G582">
        <v>2017</v>
      </c>
      <c r="H582">
        <v>5</v>
      </c>
      <c r="I582">
        <v>0</v>
      </c>
      <c r="J582" t="s">
        <v>30</v>
      </c>
      <c r="K582" s="45">
        <v>7</v>
      </c>
      <c r="L582">
        <f t="shared" si="210"/>
        <v>2024</v>
      </c>
      <c r="M582" s="15">
        <f t="shared" si="202"/>
        <v>2024.4166666666667</v>
      </c>
      <c r="N582" s="5">
        <v>36215.9</v>
      </c>
      <c r="O582" s="5">
        <f t="shared" si="203"/>
        <v>36215.9</v>
      </c>
      <c r="P582" s="5">
        <f t="shared" si="204"/>
        <v>431.14166666666665</v>
      </c>
      <c r="Q582" s="5">
        <f t="shared" si="205"/>
        <v>5173.7</v>
      </c>
      <c r="R582" s="5">
        <f t="shared" si="206"/>
        <v>5173.7</v>
      </c>
      <c r="S582" s="5">
        <f t="shared" si="207"/>
        <v>5173.7</v>
      </c>
      <c r="T582" s="5">
        <f t="shared" si="208"/>
        <v>10347.4</v>
      </c>
      <c r="U582" s="5">
        <f t="shared" si="209"/>
        <v>25868.5</v>
      </c>
    </row>
    <row r="583" spans="2:21">
      <c r="B583">
        <v>702</v>
      </c>
      <c r="C583" t="s">
        <v>704</v>
      </c>
      <c r="E583">
        <v>183934</v>
      </c>
      <c r="G583">
        <v>2017</v>
      </c>
      <c r="H583">
        <v>6</v>
      </c>
      <c r="I583">
        <v>0</v>
      </c>
      <c r="J583" t="s">
        <v>30</v>
      </c>
      <c r="K583" s="45">
        <v>7</v>
      </c>
      <c r="L583">
        <f t="shared" si="210"/>
        <v>2024</v>
      </c>
      <c r="M583" s="15">
        <f t="shared" si="202"/>
        <v>2024.5</v>
      </c>
      <c r="N583" s="5">
        <v>38623.17</v>
      </c>
      <c r="O583" s="5">
        <f t="shared" si="203"/>
        <v>38623.17</v>
      </c>
      <c r="P583" s="5">
        <f t="shared" si="204"/>
        <v>459.79964285714283</v>
      </c>
      <c r="Q583" s="5">
        <f t="shared" si="205"/>
        <v>5517.5957142857142</v>
      </c>
      <c r="R583" s="5">
        <f t="shared" si="206"/>
        <v>5517.5957142857142</v>
      </c>
      <c r="S583" s="5">
        <f t="shared" si="207"/>
        <v>5517.5957142857142</v>
      </c>
      <c r="T583" s="5">
        <f t="shared" si="208"/>
        <v>11035.191428571428</v>
      </c>
      <c r="U583" s="5">
        <f t="shared" si="209"/>
        <v>27587.978571428568</v>
      </c>
    </row>
    <row r="584" spans="2:21">
      <c r="B584">
        <v>624</v>
      </c>
      <c r="C584" t="s">
        <v>901</v>
      </c>
      <c r="E584">
        <v>189892</v>
      </c>
      <c r="G584">
        <v>2017</v>
      </c>
      <c r="H584">
        <v>11</v>
      </c>
      <c r="I584">
        <v>0</v>
      </c>
      <c r="J584" t="s">
        <v>30</v>
      </c>
      <c r="K584" s="45">
        <v>7</v>
      </c>
      <c r="L584">
        <f t="shared" si="210"/>
        <v>2024</v>
      </c>
      <c r="M584" s="15">
        <f t="shared" si="202"/>
        <v>2024.9166666666667</v>
      </c>
      <c r="N584" s="5">
        <v>32816.879999999997</v>
      </c>
      <c r="O584" s="5">
        <f t="shared" si="203"/>
        <v>32816.879999999997</v>
      </c>
      <c r="P584" s="5">
        <f t="shared" si="204"/>
        <v>390.67714285714283</v>
      </c>
      <c r="Q584" s="5">
        <f t="shared" si="205"/>
        <v>4688.1257142857139</v>
      </c>
      <c r="R584" s="5">
        <f t="shared" si="206"/>
        <v>4688.1257142857139</v>
      </c>
      <c r="S584" s="5">
        <f t="shared" si="207"/>
        <v>4688.1257142857139</v>
      </c>
      <c r="T584" s="5">
        <f t="shared" si="208"/>
        <v>9376.2514285714278</v>
      </c>
      <c r="U584" s="5">
        <f t="shared" si="209"/>
        <v>23440.62857142857</v>
      </c>
    </row>
    <row r="585" spans="2:21">
      <c r="B585">
        <v>702</v>
      </c>
      <c r="C585" t="s">
        <v>904</v>
      </c>
      <c r="E585">
        <v>185869</v>
      </c>
      <c r="G585">
        <v>2017</v>
      </c>
      <c r="H585">
        <v>8</v>
      </c>
      <c r="I585">
        <v>0</v>
      </c>
      <c r="J585" t="s">
        <v>30</v>
      </c>
      <c r="K585" s="45">
        <v>7</v>
      </c>
      <c r="L585">
        <f t="shared" si="210"/>
        <v>2024</v>
      </c>
      <c r="M585" s="15">
        <f t="shared" si="202"/>
        <v>2024.6666666666667</v>
      </c>
      <c r="N585" s="5">
        <v>37840.54</v>
      </c>
      <c r="O585" s="5">
        <f t="shared" si="203"/>
        <v>37840.54</v>
      </c>
      <c r="P585" s="5">
        <f t="shared" si="204"/>
        <v>450.48261904761904</v>
      </c>
      <c r="Q585" s="5">
        <f t="shared" si="205"/>
        <v>5405.7914285714287</v>
      </c>
      <c r="R585" s="5">
        <f t="shared" si="206"/>
        <v>5405.7914285714287</v>
      </c>
      <c r="S585" s="5">
        <f t="shared" si="207"/>
        <v>5405.7914285714287</v>
      </c>
      <c r="T585" s="5">
        <f t="shared" si="208"/>
        <v>10811.582857142857</v>
      </c>
      <c r="U585" s="5">
        <f t="shared" si="209"/>
        <v>27028.957142857143</v>
      </c>
    </row>
    <row r="586" spans="2:21">
      <c r="B586">
        <v>624</v>
      </c>
      <c r="C586" t="s">
        <v>925</v>
      </c>
      <c r="E586">
        <v>193318</v>
      </c>
      <c r="G586">
        <v>2018</v>
      </c>
      <c r="H586">
        <v>2</v>
      </c>
      <c r="I586">
        <v>0</v>
      </c>
      <c r="J586" t="s">
        <v>30</v>
      </c>
      <c r="K586" s="45">
        <v>7</v>
      </c>
      <c r="L586">
        <f t="shared" si="210"/>
        <v>2025</v>
      </c>
      <c r="M586" s="15">
        <f t="shared" si="202"/>
        <v>2025.1666666666667</v>
      </c>
      <c r="N586" s="5">
        <v>32824.15</v>
      </c>
      <c r="O586" s="5">
        <f t="shared" si="203"/>
        <v>32824.15</v>
      </c>
      <c r="P586" s="5">
        <f t="shared" si="204"/>
        <v>390.7636904761905</v>
      </c>
      <c r="Q586" s="5">
        <f t="shared" si="205"/>
        <v>4689.1642857142861</v>
      </c>
      <c r="R586" s="5">
        <f t="shared" si="206"/>
        <v>4689.1642857142861</v>
      </c>
      <c r="S586" s="5">
        <f t="shared" si="207"/>
        <v>0</v>
      </c>
      <c r="T586" s="5">
        <f t="shared" si="208"/>
        <v>4689.1642857142861</v>
      </c>
      <c r="U586" s="5">
        <f t="shared" si="209"/>
        <v>28134.985714285714</v>
      </c>
    </row>
    <row r="587" spans="2:21">
      <c r="B587">
        <v>624</v>
      </c>
      <c r="C587" t="s">
        <v>917</v>
      </c>
      <c r="E587">
        <v>196976</v>
      </c>
      <c r="G587">
        <v>2018</v>
      </c>
      <c r="H587">
        <v>4</v>
      </c>
      <c r="I587">
        <v>0</v>
      </c>
      <c r="J587" t="s">
        <v>30</v>
      </c>
      <c r="K587" s="45">
        <v>7</v>
      </c>
      <c r="L587">
        <f t="shared" si="210"/>
        <v>2025</v>
      </c>
      <c r="M587" s="15">
        <f t="shared" si="202"/>
        <v>2025.3333333333333</v>
      </c>
      <c r="N587" s="5">
        <v>33089.15</v>
      </c>
      <c r="O587" s="5">
        <f t="shared" si="203"/>
        <v>33089.15</v>
      </c>
      <c r="P587" s="5">
        <f t="shared" si="204"/>
        <v>393.91845238095243</v>
      </c>
      <c r="Q587" s="5">
        <f t="shared" si="205"/>
        <v>4727.0214285714292</v>
      </c>
      <c r="R587" s="5">
        <f t="shared" si="206"/>
        <v>4727.0214285714292</v>
      </c>
      <c r="S587" s="5">
        <f t="shared" si="207"/>
        <v>0</v>
      </c>
      <c r="T587" s="5">
        <f t="shared" si="208"/>
        <v>4727.0214285714292</v>
      </c>
      <c r="U587" s="5">
        <f t="shared" si="209"/>
        <v>28362.128571428573</v>
      </c>
    </row>
    <row r="588" spans="2:21">
      <c r="B588">
        <v>624</v>
      </c>
      <c r="C588" t="s">
        <v>917</v>
      </c>
      <c r="E588">
        <v>196977</v>
      </c>
      <c r="G588">
        <v>2018</v>
      </c>
      <c r="H588">
        <v>4</v>
      </c>
      <c r="I588">
        <v>0</v>
      </c>
      <c r="J588" t="s">
        <v>30</v>
      </c>
      <c r="K588" s="45">
        <v>7</v>
      </c>
      <c r="L588">
        <f t="shared" si="210"/>
        <v>2025</v>
      </c>
      <c r="M588" s="15">
        <f t="shared" si="202"/>
        <v>2025.3333333333333</v>
      </c>
      <c r="N588" s="5">
        <v>33089.15</v>
      </c>
      <c r="O588" s="5">
        <f t="shared" si="203"/>
        <v>33089.15</v>
      </c>
      <c r="P588" s="5">
        <f t="shared" si="204"/>
        <v>393.91845238095243</v>
      </c>
      <c r="Q588" s="5">
        <f t="shared" si="205"/>
        <v>4727.0214285714292</v>
      </c>
      <c r="R588" s="5">
        <f t="shared" si="206"/>
        <v>4727.0214285714292</v>
      </c>
      <c r="S588" s="5">
        <f t="shared" si="207"/>
        <v>0</v>
      </c>
      <c r="T588" s="5">
        <f t="shared" si="208"/>
        <v>4727.0214285714292</v>
      </c>
      <c r="U588" s="5">
        <f t="shared" si="209"/>
        <v>28362.128571428573</v>
      </c>
    </row>
    <row r="589" spans="2:21" ht="13.5" customHeight="1">
      <c r="B589">
        <v>702</v>
      </c>
      <c r="C589" t="s">
        <v>1060</v>
      </c>
      <c r="E589">
        <v>204173</v>
      </c>
      <c r="G589">
        <v>2018</v>
      </c>
      <c r="H589">
        <v>9</v>
      </c>
      <c r="I589">
        <v>0</v>
      </c>
      <c r="J589" t="s">
        <v>30</v>
      </c>
      <c r="K589" s="45">
        <v>7</v>
      </c>
      <c r="L589">
        <f>G589+K589</f>
        <v>2025</v>
      </c>
      <c r="M589" s="15">
        <f>+L589+(H589/12)</f>
        <v>2025.75</v>
      </c>
      <c r="N589" s="5">
        <v>38279.9</v>
      </c>
      <c r="O589" s="5">
        <f>N589-N589*I589</f>
        <v>38279.9</v>
      </c>
      <c r="P589" s="5">
        <f>O589/K589/12</f>
        <v>455.71309523809526</v>
      </c>
      <c r="Q589" s="5">
        <f>P589*12</f>
        <v>5468.5571428571429</v>
      </c>
      <c r="R589" s="5">
        <f t="shared" si="206"/>
        <v>5468.5571428571429</v>
      </c>
      <c r="S589" s="5">
        <f t="shared" si="207"/>
        <v>0</v>
      </c>
      <c r="T589" s="5">
        <f t="shared" si="208"/>
        <v>5468.5571428571429</v>
      </c>
      <c r="U589" s="5">
        <f t="shared" si="209"/>
        <v>32811.342857142859</v>
      </c>
    </row>
    <row r="590" spans="2:21">
      <c r="B590">
        <v>702</v>
      </c>
      <c r="C590" t="s">
        <v>1097</v>
      </c>
      <c r="E590">
        <v>209134</v>
      </c>
      <c r="G590">
        <v>2019</v>
      </c>
      <c r="H590">
        <v>1</v>
      </c>
      <c r="I590">
        <v>0</v>
      </c>
      <c r="J590" t="s">
        <v>30</v>
      </c>
      <c r="K590" s="45">
        <v>6.08</v>
      </c>
      <c r="L590">
        <f>G590+K590</f>
        <v>2025.08</v>
      </c>
      <c r="M590" s="15">
        <f>+L590+(H590/12)</f>
        <v>2025.1633333333332</v>
      </c>
      <c r="N590" s="5">
        <v>38279.9</v>
      </c>
      <c r="O590" s="5">
        <f>N590-N590*I590</f>
        <v>38279.9</v>
      </c>
      <c r="P590" s="5">
        <f>O590/K590/12</f>
        <v>524.66968201754389</v>
      </c>
      <c r="Q590" s="5">
        <f>P590*12</f>
        <v>6296.0361842105267</v>
      </c>
      <c r="R590" s="5">
        <f>+IF(M590&lt;=$O$5,0,IF(L590&gt;$O$4,Q590,(P590*H590)))</f>
        <v>6296.0361842105267</v>
      </c>
      <c r="S590" s="5">
        <f>+IF(R590=0,N590,IF($O$3-G590&lt;1,0,(($O$3-G590)*Q590)))</f>
        <v>0</v>
      </c>
      <c r="T590" s="5">
        <f>+IF(R590=0,S590,S590+R590)</f>
        <v>6296.0361842105267</v>
      </c>
      <c r="U590" s="5">
        <f>+N590-T590</f>
        <v>31983.863815789475</v>
      </c>
    </row>
    <row r="591" spans="2:21">
      <c r="B591">
        <v>432</v>
      </c>
      <c r="C591" t="s">
        <v>1096</v>
      </c>
      <c r="E591">
        <v>216381</v>
      </c>
      <c r="G591">
        <v>2019</v>
      </c>
      <c r="H591">
        <v>6</v>
      </c>
      <c r="I591">
        <v>0</v>
      </c>
      <c r="J591" t="s">
        <v>30</v>
      </c>
      <c r="K591" s="45">
        <v>7</v>
      </c>
      <c r="L591">
        <f>G591+K591</f>
        <v>2026</v>
      </c>
      <c r="M591" s="15">
        <f>+L591+(H591/12)</f>
        <v>2026.5</v>
      </c>
      <c r="N591" s="5">
        <v>19561.55</v>
      </c>
      <c r="O591" s="5">
        <f>N591-N591*I591</f>
        <v>19561.55</v>
      </c>
      <c r="P591" s="5">
        <f>O591/K591/12</f>
        <v>232.87559523809523</v>
      </c>
      <c r="Q591" s="5">
        <f>P591*12</f>
        <v>2794.5071428571428</v>
      </c>
      <c r="R591" s="5">
        <f>+IF(M591&lt;=$O$5,0,IF(L591&gt;$O$4,Q591,(P591*H591)))</f>
        <v>2794.5071428571428</v>
      </c>
      <c r="S591" s="5">
        <f>+IF(R591=0,N591,IF($O$3-G591&lt;1,0,(($O$3-G591)*Q591)))</f>
        <v>0</v>
      </c>
      <c r="T591" s="5">
        <f>+IF(R591=0,S591,S591+R591)</f>
        <v>2794.5071428571428</v>
      </c>
      <c r="U591" s="5">
        <f>+N591-T591</f>
        <v>16767.042857142857</v>
      </c>
    </row>
    <row r="592" spans="2:21">
      <c r="B592">
        <v>624</v>
      </c>
      <c r="C592" t="s">
        <v>1130</v>
      </c>
      <c r="E592">
        <v>217278</v>
      </c>
      <c r="G592">
        <v>2019</v>
      </c>
      <c r="H592">
        <v>7</v>
      </c>
      <c r="I592">
        <v>0</v>
      </c>
      <c r="J592" t="s">
        <v>30</v>
      </c>
      <c r="K592" s="45">
        <v>7</v>
      </c>
      <c r="L592">
        <f>G592+K592</f>
        <v>2026</v>
      </c>
      <c r="M592" s="15">
        <f>+L592+(H592/12)</f>
        <v>2026.5833333333333</v>
      </c>
      <c r="N592" s="5">
        <v>30698.34</v>
      </c>
      <c r="O592" s="5">
        <f>N592-N592*I592</f>
        <v>30698.34</v>
      </c>
      <c r="P592" s="5">
        <f>O592/K592/12</f>
        <v>365.4564285714286</v>
      </c>
      <c r="Q592" s="5">
        <f>P592*12</f>
        <v>4385.477142857143</v>
      </c>
      <c r="R592" s="5">
        <f t="shared" si="206"/>
        <v>4385.477142857143</v>
      </c>
      <c r="S592" s="5">
        <f t="shared" si="207"/>
        <v>0</v>
      </c>
      <c r="T592" s="5">
        <f t="shared" si="208"/>
        <v>4385.477142857143</v>
      </c>
      <c r="U592" s="5">
        <f t="shared" si="209"/>
        <v>26312.862857142856</v>
      </c>
    </row>
    <row r="593" spans="1:21">
      <c r="B593">
        <v>702</v>
      </c>
      <c r="C593" t="s">
        <v>1130</v>
      </c>
      <c r="E593">
        <v>221426</v>
      </c>
      <c r="G593">
        <v>2019</v>
      </c>
      <c r="H593">
        <v>9</v>
      </c>
      <c r="I593">
        <v>0</v>
      </c>
      <c r="J593" t="s">
        <v>30</v>
      </c>
      <c r="K593" s="45">
        <v>7</v>
      </c>
      <c r="L593">
        <f>G593+K593</f>
        <v>2026</v>
      </c>
      <c r="M593" s="15">
        <f>+L593+(H593/12)</f>
        <v>2026.75</v>
      </c>
      <c r="N593" s="5">
        <v>32333.43</v>
      </c>
      <c r="O593" s="5">
        <f>N593-N593*I593</f>
        <v>32333.43</v>
      </c>
      <c r="P593" s="5">
        <f>O593/K593/12</f>
        <v>384.9217857142857</v>
      </c>
      <c r="Q593" s="5">
        <f>P593*12</f>
        <v>4619.0614285714282</v>
      </c>
      <c r="R593" s="5">
        <f t="shared" si="206"/>
        <v>4619.0614285714282</v>
      </c>
      <c r="S593" s="5">
        <f t="shared" si="207"/>
        <v>0</v>
      </c>
      <c r="T593" s="5">
        <f t="shared" si="208"/>
        <v>4619.0614285714282</v>
      </c>
      <c r="U593" s="5">
        <f t="shared" si="209"/>
        <v>27714.368571428571</v>
      </c>
    </row>
    <row r="594" spans="1:21">
      <c r="M594" s="15"/>
    </row>
    <row r="595" spans="1:21">
      <c r="L595" s="6" t="s">
        <v>455</v>
      </c>
      <c r="M595" s="36"/>
      <c r="N595" s="9">
        <f t="shared" ref="N595:U595" si="211">SUM(N532:N594)</f>
        <v>3895081.9499999974</v>
      </c>
      <c r="O595" s="9">
        <f t="shared" si="211"/>
        <v>3895081.9499999974</v>
      </c>
      <c r="P595" s="9">
        <f t="shared" si="211"/>
        <v>46438.979801065172</v>
      </c>
      <c r="Q595" s="9">
        <f t="shared" si="211"/>
        <v>557267.75761278206</v>
      </c>
      <c r="R595" s="9">
        <f t="shared" si="211"/>
        <v>157752.72713659148</v>
      </c>
      <c r="S595" s="9">
        <f t="shared" si="211"/>
        <v>3149756.3185714278</v>
      </c>
      <c r="T595" s="9">
        <f t="shared" si="211"/>
        <v>3307509.0457080202</v>
      </c>
      <c r="U595" s="9">
        <f t="shared" si="211"/>
        <v>587572.90429197997</v>
      </c>
    </row>
    <row r="596" spans="1:21">
      <c r="M596" s="15"/>
    </row>
    <row r="597" spans="1:21">
      <c r="A597" s="4" t="s">
        <v>456</v>
      </c>
      <c r="M597" s="15"/>
    </row>
    <row r="598" spans="1:21">
      <c r="B598">
        <v>399</v>
      </c>
      <c r="C598" t="s">
        <v>154</v>
      </c>
      <c r="G598">
        <v>2001</v>
      </c>
      <c r="H598">
        <v>5</v>
      </c>
      <c r="I598">
        <v>0</v>
      </c>
      <c r="J598" t="s">
        <v>30</v>
      </c>
      <c r="K598" s="45">
        <v>7</v>
      </c>
      <c r="L598">
        <f t="shared" ref="L598:L626" si="212">G598+K598</f>
        <v>2008</v>
      </c>
      <c r="M598" s="15">
        <f t="shared" ref="M598:M626" si="213">+L598+(H598/12)</f>
        <v>2008.4166666666667</v>
      </c>
      <c r="N598" s="5">
        <v>19129.669999999998</v>
      </c>
      <c r="O598" s="5">
        <f t="shared" ref="O598:O626" si="214">N598-N598*I598</f>
        <v>19129.669999999998</v>
      </c>
      <c r="P598" s="5">
        <f t="shared" ref="P598:P626" si="215">O598/K598/12</f>
        <v>227.73416666666665</v>
      </c>
      <c r="Q598" s="5">
        <f t="shared" ref="Q598:Q626" si="216">P598*12</f>
        <v>2732.81</v>
      </c>
      <c r="R598" s="5">
        <f t="shared" ref="R598:R626" si="217">+IF(M598&lt;=$O$5,0,IF(L598&gt;$O$4,Q598,(P598*H598)))</f>
        <v>0</v>
      </c>
      <c r="S598" s="5">
        <f t="shared" ref="S598:S626" si="218">+IF(R598=0,N598,IF($O$3-G598&lt;1,0,(($O$3-G598)*Q598)))</f>
        <v>19129.669999999998</v>
      </c>
      <c r="T598" s="5">
        <f t="shared" ref="T598:T626" si="219">+IF(R598=0,S598,S598+R598)</f>
        <v>19129.669999999998</v>
      </c>
      <c r="U598" s="5">
        <f t="shared" ref="U598:U626" si="220">+N598-T598</f>
        <v>0</v>
      </c>
    </row>
    <row r="599" spans="1:21">
      <c r="B599">
        <v>203</v>
      </c>
      <c r="C599" t="s">
        <v>154</v>
      </c>
      <c r="G599">
        <v>2001</v>
      </c>
      <c r="H599">
        <v>5</v>
      </c>
      <c r="I599">
        <v>0</v>
      </c>
      <c r="J599" t="s">
        <v>30</v>
      </c>
      <c r="K599" s="45">
        <v>7</v>
      </c>
      <c r="L599">
        <f t="shared" si="212"/>
        <v>2008</v>
      </c>
      <c r="M599" s="15">
        <f t="shared" si="213"/>
        <v>2008.4166666666667</v>
      </c>
      <c r="N599" s="5">
        <v>9725.94</v>
      </c>
      <c r="O599" s="5">
        <f t="shared" si="214"/>
        <v>9725.94</v>
      </c>
      <c r="P599" s="5">
        <f t="shared" si="215"/>
        <v>115.78500000000001</v>
      </c>
      <c r="Q599" s="5">
        <f t="shared" si="216"/>
        <v>1389.42</v>
      </c>
      <c r="R599" s="5">
        <f t="shared" si="217"/>
        <v>0</v>
      </c>
      <c r="S599" s="5">
        <f t="shared" si="218"/>
        <v>9725.94</v>
      </c>
      <c r="T599" s="5">
        <f t="shared" si="219"/>
        <v>9725.94</v>
      </c>
      <c r="U599" s="5">
        <f t="shared" si="220"/>
        <v>0</v>
      </c>
    </row>
    <row r="600" spans="1:21">
      <c r="B600">
        <v>400</v>
      </c>
      <c r="C600" t="s">
        <v>154</v>
      </c>
      <c r="G600">
        <v>2001</v>
      </c>
      <c r="H600">
        <v>7</v>
      </c>
      <c r="I600">
        <v>0</v>
      </c>
      <c r="J600" t="s">
        <v>30</v>
      </c>
      <c r="K600" s="45">
        <v>7</v>
      </c>
      <c r="L600">
        <f t="shared" si="212"/>
        <v>2008</v>
      </c>
      <c r="M600" s="15">
        <f t="shared" si="213"/>
        <v>2008.5833333333333</v>
      </c>
      <c r="N600" s="5">
        <v>19217.52</v>
      </c>
      <c r="O600" s="5">
        <f t="shared" si="214"/>
        <v>19217.52</v>
      </c>
      <c r="P600" s="5">
        <f t="shared" si="215"/>
        <v>228.78</v>
      </c>
      <c r="Q600" s="5">
        <f t="shared" si="216"/>
        <v>2745.36</v>
      </c>
      <c r="R600" s="5">
        <f t="shared" si="217"/>
        <v>0</v>
      </c>
      <c r="S600" s="5">
        <f t="shared" si="218"/>
        <v>19217.52</v>
      </c>
      <c r="T600" s="5">
        <f t="shared" si="219"/>
        <v>19217.52</v>
      </c>
      <c r="U600" s="5">
        <f t="shared" si="220"/>
        <v>0</v>
      </c>
    </row>
    <row r="601" spans="1:21">
      <c r="B601">
        <v>405</v>
      </c>
      <c r="C601" t="s">
        <v>154</v>
      </c>
      <c r="G601">
        <v>2002</v>
      </c>
      <c r="H601">
        <v>4</v>
      </c>
      <c r="I601">
        <v>0</v>
      </c>
      <c r="J601" t="s">
        <v>30</v>
      </c>
      <c r="K601" s="45">
        <v>7</v>
      </c>
      <c r="L601">
        <f t="shared" si="212"/>
        <v>2009</v>
      </c>
      <c r="M601" s="15">
        <f t="shared" si="213"/>
        <v>2009.3333333333333</v>
      </c>
      <c r="N601" s="5">
        <v>19451.88</v>
      </c>
      <c r="O601" s="5">
        <f t="shared" si="214"/>
        <v>19451.88</v>
      </c>
      <c r="P601" s="5">
        <f t="shared" si="215"/>
        <v>231.57000000000002</v>
      </c>
      <c r="Q601" s="5">
        <f t="shared" si="216"/>
        <v>2778.84</v>
      </c>
      <c r="R601" s="5">
        <f t="shared" si="217"/>
        <v>0</v>
      </c>
      <c r="S601" s="5">
        <f t="shared" si="218"/>
        <v>19451.88</v>
      </c>
      <c r="T601" s="5">
        <f t="shared" si="219"/>
        <v>19451.88</v>
      </c>
      <c r="U601" s="5">
        <f t="shared" si="220"/>
        <v>0</v>
      </c>
    </row>
    <row r="602" spans="1:21">
      <c r="B602">
        <v>405</v>
      </c>
      <c r="C602" t="s">
        <v>154</v>
      </c>
      <c r="G602">
        <v>2002</v>
      </c>
      <c r="H602">
        <v>4</v>
      </c>
      <c r="I602">
        <v>0</v>
      </c>
      <c r="J602" t="s">
        <v>30</v>
      </c>
      <c r="K602" s="45">
        <v>7</v>
      </c>
      <c r="L602">
        <f t="shared" si="212"/>
        <v>2009</v>
      </c>
      <c r="M602" s="15">
        <f t="shared" si="213"/>
        <v>2009.3333333333333</v>
      </c>
      <c r="N602" s="5">
        <v>19451.88</v>
      </c>
      <c r="O602" s="5">
        <f t="shared" si="214"/>
        <v>19451.88</v>
      </c>
      <c r="P602" s="5">
        <f t="shared" si="215"/>
        <v>231.57000000000002</v>
      </c>
      <c r="Q602" s="5">
        <f t="shared" si="216"/>
        <v>2778.84</v>
      </c>
      <c r="R602" s="5">
        <f t="shared" si="217"/>
        <v>0</v>
      </c>
      <c r="S602" s="5">
        <f t="shared" si="218"/>
        <v>19451.88</v>
      </c>
      <c r="T602" s="5">
        <f t="shared" si="219"/>
        <v>19451.88</v>
      </c>
      <c r="U602" s="5">
        <f t="shared" si="220"/>
        <v>0</v>
      </c>
    </row>
    <row r="603" spans="1:21">
      <c r="B603">
        <v>438</v>
      </c>
      <c r="C603" t="s">
        <v>154</v>
      </c>
      <c r="G603">
        <v>2002</v>
      </c>
      <c r="H603">
        <v>7</v>
      </c>
      <c r="I603">
        <v>0</v>
      </c>
      <c r="J603" t="s">
        <v>30</v>
      </c>
      <c r="K603" s="45">
        <v>7</v>
      </c>
      <c r="L603">
        <f t="shared" si="212"/>
        <v>2009</v>
      </c>
      <c r="M603" s="15">
        <f t="shared" si="213"/>
        <v>2009.5833333333333</v>
      </c>
      <c r="N603" s="5">
        <v>21005.63</v>
      </c>
      <c r="O603" s="5">
        <f t="shared" si="214"/>
        <v>21005.63</v>
      </c>
      <c r="P603" s="5">
        <f t="shared" si="215"/>
        <v>250.06702380952382</v>
      </c>
      <c r="Q603" s="5">
        <f t="shared" si="216"/>
        <v>3000.8042857142859</v>
      </c>
      <c r="R603" s="5">
        <f t="shared" si="217"/>
        <v>0</v>
      </c>
      <c r="S603" s="5">
        <f t="shared" si="218"/>
        <v>21005.63</v>
      </c>
      <c r="T603" s="5">
        <f t="shared" si="219"/>
        <v>21005.63</v>
      </c>
      <c r="U603" s="5">
        <f t="shared" si="220"/>
        <v>0</v>
      </c>
    </row>
    <row r="604" spans="1:21">
      <c r="B604">
        <v>406</v>
      </c>
      <c r="C604" t="s">
        <v>154</v>
      </c>
      <c r="G604">
        <v>2002</v>
      </c>
      <c r="H604">
        <v>7</v>
      </c>
      <c r="I604">
        <v>0</v>
      </c>
      <c r="J604" t="s">
        <v>30</v>
      </c>
      <c r="K604" s="45">
        <v>7</v>
      </c>
      <c r="L604">
        <f t="shared" si="212"/>
        <v>2009</v>
      </c>
      <c r="M604" s="15">
        <f t="shared" si="213"/>
        <v>2009.5833333333333</v>
      </c>
      <c r="N604" s="5">
        <v>19505.66</v>
      </c>
      <c r="O604" s="5">
        <f t="shared" si="214"/>
        <v>19505.66</v>
      </c>
      <c r="P604" s="5">
        <f t="shared" si="215"/>
        <v>232.21023809523808</v>
      </c>
      <c r="Q604" s="5">
        <f t="shared" si="216"/>
        <v>2786.522857142857</v>
      </c>
      <c r="R604" s="5">
        <f t="shared" si="217"/>
        <v>0</v>
      </c>
      <c r="S604" s="5">
        <f t="shared" si="218"/>
        <v>19505.66</v>
      </c>
      <c r="T604" s="5">
        <f t="shared" si="219"/>
        <v>19505.66</v>
      </c>
      <c r="U604" s="5">
        <f t="shared" si="220"/>
        <v>0</v>
      </c>
    </row>
    <row r="605" spans="1:21">
      <c r="B605">
        <v>406</v>
      </c>
      <c r="C605" t="s">
        <v>154</v>
      </c>
      <c r="G605">
        <v>2002</v>
      </c>
      <c r="H605">
        <v>7</v>
      </c>
      <c r="I605">
        <v>0</v>
      </c>
      <c r="J605" t="s">
        <v>30</v>
      </c>
      <c r="K605" s="45">
        <v>7</v>
      </c>
      <c r="L605">
        <f t="shared" si="212"/>
        <v>2009</v>
      </c>
      <c r="M605" s="15">
        <f t="shared" si="213"/>
        <v>2009.5833333333333</v>
      </c>
      <c r="N605" s="5">
        <v>19505.66</v>
      </c>
      <c r="O605" s="5">
        <f t="shared" si="214"/>
        <v>19505.66</v>
      </c>
      <c r="P605" s="5">
        <f t="shared" si="215"/>
        <v>232.21023809523808</v>
      </c>
      <c r="Q605" s="5">
        <f t="shared" si="216"/>
        <v>2786.522857142857</v>
      </c>
      <c r="R605" s="5">
        <f t="shared" si="217"/>
        <v>0</v>
      </c>
      <c r="S605" s="5">
        <f t="shared" si="218"/>
        <v>19505.66</v>
      </c>
      <c r="T605" s="5">
        <f t="shared" si="219"/>
        <v>19505.66</v>
      </c>
      <c r="U605" s="5">
        <f t="shared" si="220"/>
        <v>0</v>
      </c>
    </row>
    <row r="606" spans="1:21">
      <c r="B606">
        <v>419</v>
      </c>
      <c r="C606" t="s">
        <v>149</v>
      </c>
      <c r="G606">
        <v>2003</v>
      </c>
      <c r="H606">
        <v>4</v>
      </c>
      <c r="I606">
        <v>0</v>
      </c>
      <c r="J606" t="s">
        <v>30</v>
      </c>
      <c r="K606" s="45">
        <v>7</v>
      </c>
      <c r="L606">
        <f t="shared" si="212"/>
        <v>2010</v>
      </c>
      <c r="M606" s="15">
        <f t="shared" si="213"/>
        <v>2010.3333333333333</v>
      </c>
      <c r="N606" s="5">
        <v>20093.03</v>
      </c>
      <c r="O606" s="5">
        <f t="shared" si="214"/>
        <v>20093.03</v>
      </c>
      <c r="P606" s="5">
        <f t="shared" si="215"/>
        <v>239.20273809523806</v>
      </c>
      <c r="Q606" s="5">
        <f t="shared" si="216"/>
        <v>2870.4328571428568</v>
      </c>
      <c r="R606" s="5">
        <f t="shared" si="217"/>
        <v>0</v>
      </c>
      <c r="S606" s="5">
        <f t="shared" si="218"/>
        <v>20093.03</v>
      </c>
      <c r="T606" s="5">
        <f t="shared" si="219"/>
        <v>20093.03</v>
      </c>
      <c r="U606" s="5">
        <f t="shared" si="220"/>
        <v>0</v>
      </c>
    </row>
    <row r="607" spans="1:21">
      <c r="B607">
        <v>440</v>
      </c>
      <c r="C607" t="s">
        <v>154</v>
      </c>
      <c r="G607">
        <v>2003</v>
      </c>
      <c r="H607">
        <v>5</v>
      </c>
      <c r="I607">
        <v>0</v>
      </c>
      <c r="J607" t="s">
        <v>30</v>
      </c>
      <c r="K607" s="45">
        <v>7</v>
      </c>
      <c r="L607">
        <f t="shared" si="212"/>
        <v>2010</v>
      </c>
      <c r="M607" s="15">
        <f t="shared" si="213"/>
        <v>2010.4166666666667</v>
      </c>
      <c r="N607" s="5">
        <v>21126.78</v>
      </c>
      <c r="O607" s="5">
        <f t="shared" si="214"/>
        <v>21126.78</v>
      </c>
      <c r="P607" s="5">
        <f t="shared" si="215"/>
        <v>251.50928571428571</v>
      </c>
      <c r="Q607" s="5">
        <f t="shared" si="216"/>
        <v>3018.1114285714284</v>
      </c>
      <c r="R607" s="5">
        <f t="shared" si="217"/>
        <v>0</v>
      </c>
      <c r="S607" s="5">
        <f t="shared" si="218"/>
        <v>21126.78</v>
      </c>
      <c r="T607" s="5">
        <f t="shared" si="219"/>
        <v>21126.78</v>
      </c>
      <c r="U607" s="5">
        <f t="shared" si="220"/>
        <v>0</v>
      </c>
    </row>
    <row r="608" spans="1:21">
      <c r="B608">
        <v>382</v>
      </c>
      <c r="C608" t="s">
        <v>154</v>
      </c>
      <c r="G608">
        <v>2004</v>
      </c>
      <c r="H608">
        <v>2</v>
      </c>
      <c r="I608">
        <v>0</v>
      </c>
      <c r="J608" t="s">
        <v>30</v>
      </c>
      <c r="K608" s="45">
        <v>7</v>
      </c>
      <c r="L608">
        <f t="shared" si="212"/>
        <v>2011</v>
      </c>
      <c r="M608" s="15">
        <f t="shared" si="213"/>
        <v>2011.1666666666667</v>
      </c>
      <c r="N608" s="5">
        <v>18330.62</v>
      </c>
      <c r="O608" s="5">
        <f t="shared" si="214"/>
        <v>18330.62</v>
      </c>
      <c r="P608" s="5">
        <f t="shared" si="215"/>
        <v>218.22166666666666</v>
      </c>
      <c r="Q608" s="5">
        <f t="shared" si="216"/>
        <v>2618.66</v>
      </c>
      <c r="R608" s="5">
        <f t="shared" si="217"/>
        <v>0</v>
      </c>
      <c r="S608" s="5">
        <f t="shared" si="218"/>
        <v>18330.62</v>
      </c>
      <c r="T608" s="5">
        <f t="shared" si="219"/>
        <v>18330.62</v>
      </c>
      <c r="U608" s="5">
        <f t="shared" si="220"/>
        <v>0</v>
      </c>
    </row>
    <row r="609" spans="2:21">
      <c r="B609">
        <v>439</v>
      </c>
      <c r="C609" t="s">
        <v>358</v>
      </c>
      <c r="G609">
        <v>2004</v>
      </c>
      <c r="H609">
        <v>4</v>
      </c>
      <c r="I609">
        <v>0</v>
      </c>
      <c r="J609" t="s">
        <v>30</v>
      </c>
      <c r="K609" s="45">
        <v>7</v>
      </c>
      <c r="L609">
        <f t="shared" si="212"/>
        <v>2011</v>
      </c>
      <c r="M609" s="15">
        <f t="shared" si="213"/>
        <v>2011.3333333333333</v>
      </c>
      <c r="N609" s="5">
        <v>21077.599999999999</v>
      </c>
      <c r="O609" s="5">
        <f t="shared" si="214"/>
        <v>21077.599999999999</v>
      </c>
      <c r="P609" s="5">
        <f t="shared" si="215"/>
        <v>250.9238095238095</v>
      </c>
      <c r="Q609" s="5">
        <f t="shared" si="216"/>
        <v>3011.0857142857139</v>
      </c>
      <c r="R609" s="5">
        <f t="shared" si="217"/>
        <v>0</v>
      </c>
      <c r="S609" s="5">
        <f t="shared" si="218"/>
        <v>21077.599999999999</v>
      </c>
      <c r="T609" s="5">
        <f t="shared" si="219"/>
        <v>21077.599999999999</v>
      </c>
      <c r="U609" s="5">
        <f t="shared" si="220"/>
        <v>0</v>
      </c>
    </row>
    <row r="610" spans="2:21">
      <c r="B610">
        <v>407</v>
      </c>
      <c r="C610" t="s">
        <v>154</v>
      </c>
      <c r="G610">
        <v>2004</v>
      </c>
      <c r="H610">
        <v>7</v>
      </c>
      <c r="I610">
        <v>0</v>
      </c>
      <c r="J610" t="s">
        <v>30</v>
      </c>
      <c r="K610" s="45">
        <v>7</v>
      </c>
      <c r="L610">
        <f t="shared" si="212"/>
        <v>2011</v>
      </c>
      <c r="M610" s="15">
        <f t="shared" si="213"/>
        <v>2011.5833333333333</v>
      </c>
      <c r="N610" s="5">
        <v>19515.57</v>
      </c>
      <c r="O610" s="5">
        <f t="shared" si="214"/>
        <v>19515.57</v>
      </c>
      <c r="P610" s="5">
        <f t="shared" si="215"/>
        <v>232.32821428571427</v>
      </c>
      <c r="Q610" s="5">
        <f t="shared" si="216"/>
        <v>2787.9385714285713</v>
      </c>
      <c r="R610" s="5">
        <f t="shared" si="217"/>
        <v>0</v>
      </c>
      <c r="S610" s="5">
        <f t="shared" si="218"/>
        <v>19515.57</v>
      </c>
      <c r="T610" s="5">
        <f t="shared" si="219"/>
        <v>19515.57</v>
      </c>
      <c r="U610" s="5">
        <f t="shared" si="220"/>
        <v>0</v>
      </c>
    </row>
    <row r="611" spans="2:21">
      <c r="B611">
        <v>55</v>
      </c>
      <c r="C611" t="s">
        <v>149</v>
      </c>
      <c r="G611">
        <v>2004</v>
      </c>
      <c r="H611">
        <v>7</v>
      </c>
      <c r="I611">
        <v>0</v>
      </c>
      <c r="J611" t="s">
        <v>30</v>
      </c>
      <c r="K611" s="45">
        <v>7</v>
      </c>
      <c r="L611">
        <f t="shared" si="212"/>
        <v>2011</v>
      </c>
      <c r="M611" s="15">
        <f t="shared" si="213"/>
        <v>2011.5833333333333</v>
      </c>
      <c r="N611" s="5">
        <v>2636.29</v>
      </c>
      <c r="O611" s="5">
        <f t="shared" si="214"/>
        <v>2636.29</v>
      </c>
      <c r="P611" s="5">
        <f t="shared" si="215"/>
        <v>31.384404761904761</v>
      </c>
      <c r="Q611" s="5">
        <f t="shared" si="216"/>
        <v>376.61285714285714</v>
      </c>
      <c r="R611" s="5">
        <f t="shared" si="217"/>
        <v>0</v>
      </c>
      <c r="S611" s="5">
        <f t="shared" si="218"/>
        <v>2636.29</v>
      </c>
      <c r="T611" s="5">
        <f t="shared" si="219"/>
        <v>2636.29</v>
      </c>
      <c r="U611" s="5">
        <f t="shared" si="220"/>
        <v>0</v>
      </c>
    </row>
    <row r="612" spans="2:21">
      <c r="B612">
        <v>376</v>
      </c>
      <c r="C612" t="s">
        <v>154</v>
      </c>
      <c r="G612">
        <v>2004</v>
      </c>
      <c r="H612">
        <v>12</v>
      </c>
      <c r="I612">
        <v>0</v>
      </c>
      <c r="J612" t="s">
        <v>30</v>
      </c>
      <c r="K612" s="45">
        <v>7</v>
      </c>
      <c r="L612">
        <f t="shared" si="212"/>
        <v>2011</v>
      </c>
      <c r="M612" s="15">
        <f t="shared" si="213"/>
        <v>2012</v>
      </c>
      <c r="N612" s="5">
        <v>18050.64</v>
      </c>
      <c r="O612" s="5">
        <f t="shared" si="214"/>
        <v>18050.64</v>
      </c>
      <c r="P612" s="5">
        <f t="shared" si="215"/>
        <v>214.8885714285714</v>
      </c>
      <c r="Q612" s="5">
        <f t="shared" si="216"/>
        <v>2578.6628571428569</v>
      </c>
      <c r="R612" s="5">
        <f t="shared" si="217"/>
        <v>0</v>
      </c>
      <c r="S612" s="5">
        <f t="shared" si="218"/>
        <v>18050.64</v>
      </c>
      <c r="T612" s="5">
        <f t="shared" si="219"/>
        <v>18050.64</v>
      </c>
      <c r="U612" s="5">
        <f t="shared" si="220"/>
        <v>0</v>
      </c>
    </row>
    <row r="613" spans="2:21">
      <c r="B613">
        <v>412</v>
      </c>
      <c r="C613" t="s">
        <v>154</v>
      </c>
      <c r="G613">
        <v>2005</v>
      </c>
      <c r="H613">
        <v>1</v>
      </c>
      <c r="I613">
        <v>0</v>
      </c>
      <c r="J613" t="s">
        <v>30</v>
      </c>
      <c r="K613" s="45">
        <v>7</v>
      </c>
      <c r="L613">
        <f t="shared" si="212"/>
        <v>2012</v>
      </c>
      <c r="M613" s="15">
        <f t="shared" si="213"/>
        <v>2012.0833333333333</v>
      </c>
      <c r="N613" s="5">
        <v>19764.61</v>
      </c>
      <c r="O613" s="5">
        <f t="shared" si="214"/>
        <v>19764.61</v>
      </c>
      <c r="P613" s="5">
        <f t="shared" si="215"/>
        <v>235.2929761904762</v>
      </c>
      <c r="Q613" s="5">
        <f t="shared" si="216"/>
        <v>2823.5157142857142</v>
      </c>
      <c r="R613" s="5">
        <f t="shared" si="217"/>
        <v>0</v>
      </c>
      <c r="S613" s="5">
        <f t="shared" si="218"/>
        <v>19764.61</v>
      </c>
      <c r="T613" s="5">
        <f t="shared" si="219"/>
        <v>19764.61</v>
      </c>
      <c r="U613" s="5">
        <f t="shared" si="220"/>
        <v>0</v>
      </c>
    </row>
    <row r="614" spans="2:21">
      <c r="B614">
        <v>437</v>
      </c>
      <c r="C614" t="s">
        <v>154</v>
      </c>
      <c r="G614">
        <v>2005</v>
      </c>
      <c r="H614">
        <v>3</v>
      </c>
      <c r="I614">
        <v>0</v>
      </c>
      <c r="J614" t="s">
        <v>30</v>
      </c>
      <c r="K614" s="45">
        <v>7</v>
      </c>
      <c r="L614">
        <f t="shared" si="212"/>
        <v>2012</v>
      </c>
      <c r="M614" s="15">
        <f t="shared" si="213"/>
        <v>2012.25</v>
      </c>
      <c r="N614" s="5">
        <v>20997.08</v>
      </c>
      <c r="O614" s="5">
        <f t="shared" si="214"/>
        <v>20997.08</v>
      </c>
      <c r="P614" s="5">
        <f t="shared" si="215"/>
        <v>249.96523809523811</v>
      </c>
      <c r="Q614" s="5">
        <f t="shared" si="216"/>
        <v>2999.5828571428574</v>
      </c>
      <c r="R614" s="5">
        <f t="shared" si="217"/>
        <v>0</v>
      </c>
      <c r="S614" s="5">
        <f t="shared" si="218"/>
        <v>20997.08</v>
      </c>
      <c r="T614" s="5">
        <f t="shared" si="219"/>
        <v>20997.08</v>
      </c>
      <c r="U614" s="5">
        <f t="shared" si="220"/>
        <v>0</v>
      </c>
    </row>
    <row r="615" spans="2:21">
      <c r="B615">
        <v>424</v>
      </c>
      <c r="C615" t="s">
        <v>154</v>
      </c>
      <c r="G615">
        <v>2005</v>
      </c>
      <c r="H615">
        <v>3</v>
      </c>
      <c r="I615">
        <v>0</v>
      </c>
      <c r="J615" t="s">
        <v>30</v>
      </c>
      <c r="K615" s="45">
        <v>7</v>
      </c>
      <c r="L615">
        <f t="shared" si="212"/>
        <v>2012</v>
      </c>
      <c r="M615" s="15">
        <f t="shared" si="213"/>
        <v>2012.25</v>
      </c>
      <c r="N615" s="5">
        <v>20349.169999999998</v>
      </c>
      <c r="O615" s="5">
        <f t="shared" si="214"/>
        <v>20349.169999999998</v>
      </c>
      <c r="P615" s="5">
        <f t="shared" si="215"/>
        <v>242.25202380952376</v>
      </c>
      <c r="Q615" s="5">
        <f t="shared" si="216"/>
        <v>2907.0242857142853</v>
      </c>
      <c r="R615" s="5">
        <f t="shared" si="217"/>
        <v>0</v>
      </c>
      <c r="S615" s="5">
        <f t="shared" si="218"/>
        <v>20349.169999999998</v>
      </c>
      <c r="T615" s="5">
        <f t="shared" si="219"/>
        <v>20349.169999999998</v>
      </c>
      <c r="U615" s="5">
        <f t="shared" si="220"/>
        <v>0</v>
      </c>
    </row>
    <row r="616" spans="2:21">
      <c r="B616">
        <v>417</v>
      </c>
      <c r="C616" t="s">
        <v>154</v>
      </c>
      <c r="G616">
        <v>2005</v>
      </c>
      <c r="H616">
        <v>5</v>
      </c>
      <c r="I616">
        <v>0</v>
      </c>
      <c r="J616" t="s">
        <v>30</v>
      </c>
      <c r="K616" s="45">
        <v>7</v>
      </c>
      <c r="L616">
        <f t="shared" si="212"/>
        <v>2012</v>
      </c>
      <c r="M616" s="15">
        <f t="shared" si="213"/>
        <v>2012.4166666666667</v>
      </c>
      <c r="N616" s="5">
        <v>19994.419999999998</v>
      </c>
      <c r="O616" s="5">
        <f t="shared" si="214"/>
        <v>19994.419999999998</v>
      </c>
      <c r="P616" s="5">
        <f t="shared" si="215"/>
        <v>238.02880952380951</v>
      </c>
      <c r="Q616" s="5">
        <f t="shared" si="216"/>
        <v>2856.3457142857142</v>
      </c>
      <c r="R616" s="5">
        <f t="shared" si="217"/>
        <v>0</v>
      </c>
      <c r="S616" s="5">
        <f t="shared" si="218"/>
        <v>19994.419999999998</v>
      </c>
      <c r="T616" s="5">
        <f t="shared" si="219"/>
        <v>19994.419999999998</v>
      </c>
      <c r="U616" s="5">
        <f t="shared" si="220"/>
        <v>0</v>
      </c>
    </row>
    <row r="617" spans="2:21">
      <c r="B617">
        <v>417</v>
      </c>
      <c r="C617" t="s">
        <v>154</v>
      </c>
      <c r="G617">
        <v>2005</v>
      </c>
      <c r="H617">
        <v>5</v>
      </c>
      <c r="I617">
        <v>0</v>
      </c>
      <c r="J617" t="s">
        <v>30</v>
      </c>
      <c r="K617" s="45">
        <v>7</v>
      </c>
      <c r="L617">
        <f t="shared" si="212"/>
        <v>2012</v>
      </c>
      <c r="M617" s="15">
        <f t="shared" si="213"/>
        <v>2012.4166666666667</v>
      </c>
      <c r="N617" s="5">
        <v>19994.419999999998</v>
      </c>
      <c r="O617" s="5">
        <f t="shared" si="214"/>
        <v>19994.419999999998</v>
      </c>
      <c r="P617" s="5">
        <f t="shared" si="215"/>
        <v>238.02880952380951</v>
      </c>
      <c r="Q617" s="5">
        <f t="shared" si="216"/>
        <v>2856.3457142857142</v>
      </c>
      <c r="R617" s="5">
        <f t="shared" si="217"/>
        <v>0</v>
      </c>
      <c r="S617" s="5">
        <f t="shared" si="218"/>
        <v>19994.419999999998</v>
      </c>
      <c r="T617" s="5">
        <f t="shared" si="219"/>
        <v>19994.419999999998</v>
      </c>
      <c r="U617" s="5">
        <f t="shared" si="220"/>
        <v>0</v>
      </c>
    </row>
    <row r="618" spans="2:21">
      <c r="B618">
        <v>465</v>
      </c>
      <c r="C618" t="s">
        <v>154</v>
      </c>
      <c r="G618">
        <v>2005</v>
      </c>
      <c r="H618">
        <v>6</v>
      </c>
      <c r="I618">
        <v>0</v>
      </c>
      <c r="J618" t="s">
        <v>30</v>
      </c>
      <c r="K618" s="45">
        <v>7</v>
      </c>
      <c r="L618">
        <f t="shared" si="212"/>
        <v>2012</v>
      </c>
      <c r="M618" s="15">
        <f t="shared" si="213"/>
        <v>2012.5</v>
      </c>
      <c r="N618" s="5">
        <v>22310.54</v>
      </c>
      <c r="O618" s="5">
        <f t="shared" si="214"/>
        <v>22310.54</v>
      </c>
      <c r="P618" s="5">
        <f t="shared" si="215"/>
        <v>265.60166666666669</v>
      </c>
      <c r="Q618" s="5">
        <f t="shared" si="216"/>
        <v>3187.2200000000003</v>
      </c>
      <c r="R618" s="5">
        <f t="shared" si="217"/>
        <v>0</v>
      </c>
      <c r="S618" s="5">
        <f t="shared" si="218"/>
        <v>22310.54</v>
      </c>
      <c r="T618" s="5">
        <f t="shared" si="219"/>
        <v>22310.54</v>
      </c>
      <c r="U618" s="5">
        <f t="shared" si="220"/>
        <v>0</v>
      </c>
    </row>
    <row r="619" spans="2:21">
      <c r="B619">
        <v>444</v>
      </c>
      <c r="C619" t="s">
        <v>149</v>
      </c>
      <c r="G619">
        <v>2005</v>
      </c>
      <c r="H619">
        <v>6</v>
      </c>
      <c r="I619">
        <v>0</v>
      </c>
      <c r="J619" t="s">
        <v>30</v>
      </c>
      <c r="K619" s="45">
        <v>7</v>
      </c>
      <c r="L619">
        <f t="shared" si="212"/>
        <v>2012</v>
      </c>
      <c r="M619" s="15">
        <f t="shared" si="213"/>
        <v>2012.5</v>
      </c>
      <c r="N619" s="5">
        <v>21311.439999999999</v>
      </c>
      <c r="O619" s="5">
        <f t="shared" si="214"/>
        <v>21311.439999999999</v>
      </c>
      <c r="P619" s="5">
        <f t="shared" si="215"/>
        <v>253.70761904761903</v>
      </c>
      <c r="Q619" s="5">
        <f t="shared" si="216"/>
        <v>3044.4914285714285</v>
      </c>
      <c r="R619" s="5">
        <f t="shared" si="217"/>
        <v>0</v>
      </c>
      <c r="S619" s="5">
        <f t="shared" si="218"/>
        <v>21311.439999999999</v>
      </c>
      <c r="T619" s="5">
        <f t="shared" si="219"/>
        <v>21311.439999999999</v>
      </c>
      <c r="U619" s="5">
        <f t="shared" si="220"/>
        <v>0</v>
      </c>
    </row>
    <row r="620" spans="2:21">
      <c r="B620">
        <v>436</v>
      </c>
      <c r="C620" t="s">
        <v>154</v>
      </c>
      <c r="G620">
        <v>2005</v>
      </c>
      <c r="H620">
        <v>7</v>
      </c>
      <c r="I620">
        <v>0</v>
      </c>
      <c r="J620" t="s">
        <v>30</v>
      </c>
      <c r="K620" s="45">
        <v>7</v>
      </c>
      <c r="L620">
        <f t="shared" si="212"/>
        <v>2012</v>
      </c>
      <c r="M620" s="15">
        <f t="shared" si="213"/>
        <v>2012.5833333333333</v>
      </c>
      <c r="N620" s="5">
        <v>20919.810000000001</v>
      </c>
      <c r="O620" s="5">
        <f t="shared" si="214"/>
        <v>20919.810000000001</v>
      </c>
      <c r="P620" s="5">
        <f t="shared" si="215"/>
        <v>249.04535714285714</v>
      </c>
      <c r="Q620" s="5">
        <f t="shared" si="216"/>
        <v>2988.5442857142857</v>
      </c>
      <c r="R620" s="5">
        <f t="shared" si="217"/>
        <v>0</v>
      </c>
      <c r="S620" s="5">
        <f t="shared" si="218"/>
        <v>20919.810000000001</v>
      </c>
      <c r="T620" s="5">
        <f t="shared" si="219"/>
        <v>20919.810000000001</v>
      </c>
      <c r="U620" s="5">
        <f t="shared" si="220"/>
        <v>0</v>
      </c>
    </row>
    <row r="621" spans="2:21">
      <c r="B621">
        <v>508</v>
      </c>
      <c r="C621" t="s">
        <v>154</v>
      </c>
      <c r="G621">
        <v>2005</v>
      </c>
      <c r="H621">
        <v>9</v>
      </c>
      <c r="I621">
        <v>0</v>
      </c>
      <c r="J621" t="s">
        <v>30</v>
      </c>
      <c r="K621" s="45">
        <v>7</v>
      </c>
      <c r="L621">
        <f t="shared" si="212"/>
        <v>2012</v>
      </c>
      <c r="M621" s="15">
        <f t="shared" si="213"/>
        <v>2012.75</v>
      </c>
      <c r="N621" s="5">
        <v>24364.94</v>
      </c>
      <c r="O621" s="5">
        <f t="shared" si="214"/>
        <v>24364.94</v>
      </c>
      <c r="P621" s="5">
        <f t="shared" si="215"/>
        <v>290.05880952380954</v>
      </c>
      <c r="Q621" s="5">
        <f t="shared" si="216"/>
        <v>3480.7057142857147</v>
      </c>
      <c r="R621" s="5">
        <f t="shared" si="217"/>
        <v>0</v>
      </c>
      <c r="S621" s="5">
        <f t="shared" si="218"/>
        <v>24364.94</v>
      </c>
      <c r="T621" s="5">
        <f t="shared" si="219"/>
        <v>24364.94</v>
      </c>
      <c r="U621" s="5">
        <f t="shared" si="220"/>
        <v>0</v>
      </c>
    </row>
    <row r="622" spans="2:21">
      <c r="B622">
        <v>477</v>
      </c>
      <c r="C622" t="s">
        <v>154</v>
      </c>
      <c r="G622">
        <v>2005</v>
      </c>
      <c r="H622">
        <v>10</v>
      </c>
      <c r="I622">
        <v>0</v>
      </c>
      <c r="J622" t="s">
        <v>30</v>
      </c>
      <c r="K622" s="45">
        <v>7</v>
      </c>
      <c r="L622">
        <f t="shared" si="212"/>
        <v>2012</v>
      </c>
      <c r="M622" s="15">
        <f t="shared" si="213"/>
        <v>2012.8333333333333</v>
      </c>
      <c r="N622" s="5">
        <v>22905.05</v>
      </c>
      <c r="O622" s="5">
        <f t="shared" si="214"/>
        <v>22905.05</v>
      </c>
      <c r="P622" s="5">
        <f t="shared" si="215"/>
        <v>272.67916666666667</v>
      </c>
      <c r="Q622" s="5">
        <f t="shared" si="216"/>
        <v>3272.15</v>
      </c>
      <c r="R622" s="5">
        <f t="shared" si="217"/>
        <v>0</v>
      </c>
      <c r="S622" s="5">
        <f t="shared" si="218"/>
        <v>22905.05</v>
      </c>
      <c r="T622" s="5">
        <f t="shared" si="219"/>
        <v>22905.05</v>
      </c>
      <c r="U622" s="5">
        <f t="shared" si="220"/>
        <v>0</v>
      </c>
    </row>
    <row r="623" spans="2:21">
      <c r="B623">
        <v>514</v>
      </c>
      <c r="C623" t="s">
        <v>149</v>
      </c>
      <c r="G623">
        <v>2006</v>
      </c>
      <c r="H623">
        <v>5</v>
      </c>
      <c r="I623">
        <v>0</v>
      </c>
      <c r="J623" t="s">
        <v>30</v>
      </c>
      <c r="K623" s="45">
        <v>7</v>
      </c>
      <c r="L623">
        <f t="shared" si="212"/>
        <v>2013</v>
      </c>
      <c r="M623" s="15">
        <f t="shared" si="213"/>
        <v>2013.4166666666667</v>
      </c>
      <c r="N623" s="5">
        <v>24666.23</v>
      </c>
      <c r="O623" s="5">
        <f t="shared" si="214"/>
        <v>24666.23</v>
      </c>
      <c r="P623" s="5">
        <f t="shared" si="215"/>
        <v>293.64559523809527</v>
      </c>
      <c r="Q623" s="5">
        <f t="shared" si="216"/>
        <v>3523.7471428571434</v>
      </c>
      <c r="R623" s="5">
        <f t="shared" si="217"/>
        <v>0</v>
      </c>
      <c r="S623" s="5">
        <f t="shared" si="218"/>
        <v>24666.23</v>
      </c>
      <c r="T623" s="5">
        <f t="shared" si="219"/>
        <v>24666.23</v>
      </c>
      <c r="U623" s="5">
        <f t="shared" si="220"/>
        <v>0</v>
      </c>
    </row>
    <row r="624" spans="2:21">
      <c r="B624">
        <v>523</v>
      </c>
      <c r="C624" t="s">
        <v>149</v>
      </c>
      <c r="G624">
        <v>2006</v>
      </c>
      <c r="H624">
        <v>7</v>
      </c>
      <c r="I624">
        <v>0</v>
      </c>
      <c r="J624" t="s">
        <v>30</v>
      </c>
      <c r="K624" s="45">
        <v>7</v>
      </c>
      <c r="L624">
        <f t="shared" si="212"/>
        <v>2013</v>
      </c>
      <c r="M624" s="15">
        <f t="shared" si="213"/>
        <v>2013.5833333333333</v>
      </c>
      <c r="N624" s="5">
        <v>25094.53</v>
      </c>
      <c r="O624" s="5">
        <f t="shared" si="214"/>
        <v>25094.53</v>
      </c>
      <c r="P624" s="5">
        <f t="shared" si="215"/>
        <v>298.74440476190472</v>
      </c>
      <c r="Q624" s="5">
        <f t="shared" si="216"/>
        <v>3584.9328571428568</v>
      </c>
      <c r="R624" s="5">
        <f t="shared" si="217"/>
        <v>0</v>
      </c>
      <c r="S624" s="5">
        <f t="shared" si="218"/>
        <v>25094.53</v>
      </c>
      <c r="T624" s="5">
        <f t="shared" si="219"/>
        <v>25094.53</v>
      </c>
      <c r="U624" s="5">
        <f t="shared" si="220"/>
        <v>0</v>
      </c>
    </row>
    <row r="625" spans="2:21">
      <c r="B625">
        <v>512</v>
      </c>
      <c r="C625" t="s">
        <v>149</v>
      </c>
      <c r="G625">
        <v>2006</v>
      </c>
      <c r="H625">
        <v>7</v>
      </c>
      <c r="I625">
        <v>0</v>
      </c>
      <c r="J625" t="s">
        <v>30</v>
      </c>
      <c r="K625" s="45">
        <v>7</v>
      </c>
      <c r="L625">
        <f t="shared" si="212"/>
        <v>2013</v>
      </c>
      <c r="M625" s="15">
        <f t="shared" si="213"/>
        <v>2013.5833333333333</v>
      </c>
      <c r="N625" s="5">
        <v>24596.23</v>
      </c>
      <c r="O625" s="5">
        <f t="shared" si="214"/>
        <v>24596.23</v>
      </c>
      <c r="P625" s="5">
        <f t="shared" si="215"/>
        <v>292.8122619047619</v>
      </c>
      <c r="Q625" s="5">
        <f t="shared" si="216"/>
        <v>3513.7471428571425</v>
      </c>
      <c r="R625" s="5">
        <f t="shared" si="217"/>
        <v>0</v>
      </c>
      <c r="S625" s="5">
        <f t="shared" si="218"/>
        <v>24596.23</v>
      </c>
      <c r="T625" s="5">
        <f t="shared" si="219"/>
        <v>24596.23</v>
      </c>
      <c r="U625" s="5">
        <f t="shared" si="220"/>
        <v>0</v>
      </c>
    </row>
    <row r="626" spans="2:21">
      <c r="B626">
        <v>272</v>
      </c>
      <c r="C626" t="s">
        <v>154</v>
      </c>
      <c r="G626">
        <v>2006</v>
      </c>
      <c r="H626">
        <v>10</v>
      </c>
      <c r="I626">
        <v>0</v>
      </c>
      <c r="J626" t="s">
        <v>30</v>
      </c>
      <c r="K626" s="45">
        <v>7</v>
      </c>
      <c r="L626">
        <f t="shared" si="212"/>
        <v>2013</v>
      </c>
      <c r="M626" s="15">
        <f t="shared" si="213"/>
        <v>2013.8333333333333</v>
      </c>
      <c r="N626" s="5">
        <v>13057.61</v>
      </c>
      <c r="O626" s="5">
        <f t="shared" si="214"/>
        <v>13057.61</v>
      </c>
      <c r="P626" s="5">
        <f t="shared" si="215"/>
        <v>155.44773809523809</v>
      </c>
      <c r="Q626" s="5">
        <f t="shared" si="216"/>
        <v>1865.3728571428571</v>
      </c>
      <c r="R626" s="5">
        <f t="shared" si="217"/>
        <v>0</v>
      </c>
      <c r="S626" s="5">
        <f t="shared" si="218"/>
        <v>13057.61</v>
      </c>
      <c r="T626" s="5">
        <f t="shared" si="219"/>
        <v>13057.61</v>
      </c>
      <c r="U626" s="5">
        <f t="shared" si="220"/>
        <v>0</v>
      </c>
    </row>
    <row r="627" spans="2:21">
      <c r="B627">
        <v>244</v>
      </c>
      <c r="C627" t="s">
        <v>149</v>
      </c>
      <c r="G627">
        <v>2006</v>
      </c>
      <c r="H627">
        <v>10</v>
      </c>
      <c r="I627">
        <v>0</v>
      </c>
      <c r="J627" t="s">
        <v>30</v>
      </c>
      <c r="K627" s="45">
        <v>7</v>
      </c>
      <c r="L627">
        <f t="shared" ref="L627:L646" si="221">G627+K627</f>
        <v>2013</v>
      </c>
      <c r="M627" s="15">
        <f t="shared" ref="M627:M666" si="222">+L627+(H627/12)</f>
        <v>2013.8333333333333</v>
      </c>
      <c r="N627" s="5">
        <v>11700.28</v>
      </c>
      <c r="O627" s="5">
        <f t="shared" ref="O627:O656" si="223">N627-N627*I627</f>
        <v>11700.28</v>
      </c>
      <c r="P627" s="5">
        <f t="shared" ref="P627:P656" si="224">O627/K627/12</f>
        <v>139.28904761904764</v>
      </c>
      <c r="Q627" s="5">
        <f t="shared" ref="Q627:Q666" si="225">P627*12</f>
        <v>1671.4685714285715</v>
      </c>
      <c r="R627" s="5">
        <f t="shared" ref="R627:R670" si="226">+IF(M627&lt;=$O$5,0,IF(L627&gt;$O$4,Q627,(P627*H627)))</f>
        <v>0</v>
      </c>
      <c r="S627" s="5">
        <f t="shared" ref="S627:S670" si="227">+IF(R627=0,N627,IF($O$3-G627&lt;1,0,(($O$3-G627)*Q627)))</f>
        <v>11700.28</v>
      </c>
      <c r="T627" s="5">
        <f t="shared" ref="T627:T670" si="228">+IF(R627=0,S627,S627+R627)</f>
        <v>11700.28</v>
      </c>
      <c r="U627" s="5">
        <f t="shared" ref="U627:U670" si="229">+N627-T627</f>
        <v>0</v>
      </c>
    </row>
    <row r="628" spans="2:21">
      <c r="B628">
        <v>486</v>
      </c>
      <c r="C628" t="s">
        <v>604</v>
      </c>
      <c r="D628">
        <v>2181</v>
      </c>
      <c r="E628">
        <v>65542</v>
      </c>
      <c r="G628">
        <v>2009</v>
      </c>
      <c r="H628">
        <v>6</v>
      </c>
      <c r="I628">
        <v>0</v>
      </c>
      <c r="J628" t="s">
        <v>30</v>
      </c>
      <c r="K628" s="45">
        <v>7</v>
      </c>
      <c r="L628">
        <f t="shared" si="221"/>
        <v>2016</v>
      </c>
      <c r="M628" s="15">
        <f t="shared" si="222"/>
        <v>2016.5</v>
      </c>
      <c r="N628" s="5">
        <v>22586.55</v>
      </c>
      <c r="O628" s="5">
        <f t="shared" si="223"/>
        <v>22586.55</v>
      </c>
      <c r="P628" s="5">
        <f t="shared" si="224"/>
        <v>268.88749999999999</v>
      </c>
      <c r="Q628" s="5">
        <f t="shared" si="225"/>
        <v>3226.6499999999996</v>
      </c>
      <c r="R628" s="5">
        <f t="shared" si="226"/>
        <v>0</v>
      </c>
      <c r="S628" s="5">
        <f t="shared" si="227"/>
        <v>22586.55</v>
      </c>
      <c r="T628" s="5">
        <f t="shared" si="228"/>
        <v>22586.55</v>
      </c>
      <c r="U628" s="5">
        <f t="shared" si="229"/>
        <v>0</v>
      </c>
    </row>
    <row r="629" spans="2:21">
      <c r="B629">
        <v>486</v>
      </c>
      <c r="C629" t="s">
        <v>603</v>
      </c>
      <c r="D629">
        <v>2181</v>
      </c>
      <c r="E629">
        <v>66257</v>
      </c>
      <c r="G629">
        <v>2009</v>
      </c>
      <c r="H629">
        <v>7</v>
      </c>
      <c r="I629">
        <v>0</v>
      </c>
      <c r="J629" t="s">
        <v>30</v>
      </c>
      <c r="K629" s="45">
        <v>7</v>
      </c>
      <c r="L629">
        <f t="shared" si="221"/>
        <v>2016</v>
      </c>
      <c r="M629" s="15">
        <f t="shared" si="222"/>
        <v>2016.5833333333333</v>
      </c>
      <c r="N629" s="5">
        <v>22586.55</v>
      </c>
      <c r="O629" s="5">
        <f t="shared" si="223"/>
        <v>22586.55</v>
      </c>
      <c r="P629" s="5">
        <f t="shared" si="224"/>
        <v>268.88749999999999</v>
      </c>
      <c r="Q629" s="5">
        <f t="shared" si="225"/>
        <v>3226.6499999999996</v>
      </c>
      <c r="R629" s="5">
        <f t="shared" si="226"/>
        <v>0</v>
      </c>
      <c r="S629" s="5">
        <f t="shared" si="227"/>
        <v>22586.55</v>
      </c>
      <c r="T629" s="5">
        <f t="shared" si="228"/>
        <v>22586.55</v>
      </c>
      <c r="U629" s="5">
        <f t="shared" si="229"/>
        <v>0</v>
      </c>
    </row>
    <row r="630" spans="2:21">
      <c r="B630">
        <v>486</v>
      </c>
      <c r="C630" t="s">
        <v>603</v>
      </c>
      <c r="D630">
        <v>2181</v>
      </c>
      <c r="E630">
        <v>66256</v>
      </c>
      <c r="G630">
        <v>2009</v>
      </c>
      <c r="H630">
        <v>7</v>
      </c>
      <c r="I630">
        <v>0</v>
      </c>
      <c r="J630" t="s">
        <v>30</v>
      </c>
      <c r="K630" s="45">
        <v>7</v>
      </c>
      <c r="L630">
        <f t="shared" si="221"/>
        <v>2016</v>
      </c>
      <c r="M630" s="15">
        <f t="shared" si="222"/>
        <v>2016.5833333333333</v>
      </c>
      <c r="N630" s="5">
        <v>22586.55</v>
      </c>
      <c r="O630" s="5">
        <f t="shared" si="223"/>
        <v>22586.55</v>
      </c>
      <c r="P630" s="5">
        <f t="shared" si="224"/>
        <v>268.88749999999999</v>
      </c>
      <c r="Q630" s="5">
        <f t="shared" si="225"/>
        <v>3226.6499999999996</v>
      </c>
      <c r="R630" s="5">
        <f t="shared" si="226"/>
        <v>0</v>
      </c>
      <c r="S630" s="5">
        <f t="shared" si="227"/>
        <v>22586.55</v>
      </c>
      <c r="T630" s="5">
        <f t="shared" si="228"/>
        <v>22586.55</v>
      </c>
      <c r="U630" s="5">
        <f t="shared" si="229"/>
        <v>0</v>
      </c>
    </row>
    <row r="631" spans="2:21">
      <c r="B631">
        <v>437</v>
      </c>
      <c r="C631" t="s">
        <v>490</v>
      </c>
      <c r="E631">
        <v>82069</v>
      </c>
      <c r="G631">
        <v>2011</v>
      </c>
      <c r="H631">
        <v>5</v>
      </c>
      <c r="I631">
        <v>0</v>
      </c>
      <c r="J631" t="s">
        <v>30</v>
      </c>
      <c r="K631" s="45">
        <v>7</v>
      </c>
      <c r="L631">
        <f t="shared" si="221"/>
        <v>2018</v>
      </c>
      <c r="M631" s="15">
        <f t="shared" si="222"/>
        <v>2018.4166666666667</v>
      </c>
      <c r="N631" s="5">
        <v>22668.84</v>
      </c>
      <c r="O631" s="5">
        <f t="shared" si="223"/>
        <v>22668.84</v>
      </c>
      <c r="P631" s="5">
        <f t="shared" si="224"/>
        <v>269.86714285714282</v>
      </c>
      <c r="Q631" s="5">
        <f t="shared" si="225"/>
        <v>3238.4057142857137</v>
      </c>
      <c r="R631" s="5">
        <f t="shared" si="226"/>
        <v>0</v>
      </c>
      <c r="S631" s="5">
        <f t="shared" si="227"/>
        <v>22668.84</v>
      </c>
      <c r="T631" s="5">
        <f t="shared" si="228"/>
        <v>22668.84</v>
      </c>
      <c r="U631" s="5">
        <f t="shared" si="229"/>
        <v>0</v>
      </c>
    </row>
    <row r="632" spans="2:21">
      <c r="B632">
        <v>486</v>
      </c>
      <c r="C632" t="s">
        <v>509</v>
      </c>
      <c r="E632">
        <v>82073</v>
      </c>
      <c r="G632">
        <v>2011</v>
      </c>
      <c r="H632">
        <v>5</v>
      </c>
      <c r="I632">
        <v>0</v>
      </c>
      <c r="J632" t="s">
        <v>30</v>
      </c>
      <c r="K632" s="45">
        <v>7</v>
      </c>
      <c r="L632">
        <f t="shared" si="221"/>
        <v>2018</v>
      </c>
      <c r="M632" s="15">
        <f t="shared" si="222"/>
        <v>2018.4166666666667</v>
      </c>
      <c r="N632" s="5">
        <v>25210.65</v>
      </c>
      <c r="O632" s="5">
        <f t="shared" si="223"/>
        <v>25210.65</v>
      </c>
      <c r="P632" s="5">
        <f t="shared" si="224"/>
        <v>300.12678571428575</v>
      </c>
      <c r="Q632" s="5">
        <f t="shared" si="225"/>
        <v>3601.5214285714292</v>
      </c>
      <c r="R632" s="5">
        <f t="shared" si="226"/>
        <v>0</v>
      </c>
      <c r="S632" s="5">
        <f t="shared" si="227"/>
        <v>25210.65</v>
      </c>
      <c r="T632" s="5">
        <f t="shared" si="228"/>
        <v>25210.65</v>
      </c>
      <c r="U632" s="5">
        <f t="shared" si="229"/>
        <v>0</v>
      </c>
    </row>
    <row r="633" spans="2:21">
      <c r="B633">
        <v>49</v>
      </c>
      <c r="C633" t="s">
        <v>509</v>
      </c>
      <c r="E633">
        <v>86152</v>
      </c>
      <c r="G633">
        <v>2011</v>
      </c>
      <c r="H633">
        <v>5</v>
      </c>
      <c r="I633">
        <v>0</v>
      </c>
      <c r="J633" t="s">
        <v>30</v>
      </c>
      <c r="K633" s="45">
        <v>7</v>
      </c>
      <c r="L633">
        <f t="shared" si="221"/>
        <v>2018</v>
      </c>
      <c r="M633" s="15">
        <f t="shared" si="222"/>
        <v>2018.4166666666667</v>
      </c>
      <c r="N633" s="5">
        <v>2541.8200000000002</v>
      </c>
      <c r="O633" s="5">
        <f t="shared" si="223"/>
        <v>2541.8200000000002</v>
      </c>
      <c r="P633" s="5">
        <f t="shared" si="224"/>
        <v>30.259761904761906</v>
      </c>
      <c r="Q633" s="5">
        <f t="shared" si="225"/>
        <v>363.11714285714288</v>
      </c>
      <c r="R633" s="5">
        <f t="shared" si="226"/>
        <v>0</v>
      </c>
      <c r="S633" s="5">
        <f t="shared" si="227"/>
        <v>2541.8200000000002</v>
      </c>
      <c r="T633" s="5">
        <f t="shared" si="228"/>
        <v>2541.8200000000002</v>
      </c>
      <c r="U633" s="5">
        <f t="shared" si="229"/>
        <v>0</v>
      </c>
    </row>
    <row r="634" spans="2:21">
      <c r="B634">
        <v>418</v>
      </c>
      <c r="C634" t="s">
        <v>509</v>
      </c>
      <c r="E634">
        <v>88133</v>
      </c>
      <c r="G634">
        <v>2011</v>
      </c>
      <c r="H634">
        <v>8</v>
      </c>
      <c r="I634">
        <v>0</v>
      </c>
      <c r="J634" t="s">
        <v>30</v>
      </c>
      <c r="K634" s="45">
        <v>7</v>
      </c>
      <c r="L634">
        <f t="shared" si="221"/>
        <v>2018</v>
      </c>
      <c r="M634" s="15">
        <f t="shared" si="222"/>
        <v>2018.6666666666667</v>
      </c>
      <c r="N634" s="5">
        <v>23780.3</v>
      </c>
      <c r="O634" s="5">
        <f t="shared" si="223"/>
        <v>23780.3</v>
      </c>
      <c r="P634" s="5">
        <f t="shared" si="224"/>
        <v>283.09880952380951</v>
      </c>
      <c r="Q634" s="5">
        <f t="shared" si="225"/>
        <v>3397.1857142857143</v>
      </c>
      <c r="R634" s="5">
        <f t="shared" si="226"/>
        <v>0</v>
      </c>
      <c r="S634" s="5">
        <f t="shared" si="227"/>
        <v>23780.3</v>
      </c>
      <c r="T634" s="5">
        <f t="shared" si="228"/>
        <v>23780.3</v>
      </c>
      <c r="U634" s="5">
        <f t="shared" si="229"/>
        <v>0</v>
      </c>
    </row>
    <row r="635" spans="2:21">
      <c r="B635">
        <v>554</v>
      </c>
      <c r="C635" t="s">
        <v>603</v>
      </c>
      <c r="E635" t="s">
        <v>612</v>
      </c>
      <c r="G635">
        <v>2011</v>
      </c>
      <c r="H635">
        <v>9</v>
      </c>
      <c r="I635">
        <v>0</v>
      </c>
      <c r="J635" t="s">
        <v>30</v>
      </c>
      <c r="K635" s="45">
        <v>7</v>
      </c>
      <c r="L635">
        <f t="shared" si="221"/>
        <v>2018</v>
      </c>
      <c r="M635" s="15">
        <f t="shared" si="222"/>
        <v>2018.75</v>
      </c>
      <c r="N635" s="5">
        <f>27648.85+3868.85</f>
        <v>31517.699999999997</v>
      </c>
      <c r="O635" s="5">
        <f t="shared" si="223"/>
        <v>31517.699999999997</v>
      </c>
      <c r="P635" s="5">
        <f t="shared" si="224"/>
        <v>375.21071428571423</v>
      </c>
      <c r="Q635" s="5">
        <f t="shared" si="225"/>
        <v>4502.528571428571</v>
      </c>
      <c r="R635" s="5">
        <f t="shared" si="226"/>
        <v>0</v>
      </c>
      <c r="S635" s="5">
        <f t="shared" si="227"/>
        <v>31517.699999999997</v>
      </c>
      <c r="T635" s="5">
        <f t="shared" si="228"/>
        <v>31517.699999999997</v>
      </c>
      <c r="U635" s="5">
        <f t="shared" si="229"/>
        <v>0</v>
      </c>
    </row>
    <row r="636" spans="2:21">
      <c r="B636">
        <v>68</v>
      </c>
      <c r="C636" t="s">
        <v>603</v>
      </c>
      <c r="E636" t="s">
        <v>613</v>
      </c>
      <c r="G636">
        <v>2011</v>
      </c>
      <c r="H636">
        <v>9</v>
      </c>
      <c r="I636">
        <v>0</v>
      </c>
      <c r="J636" t="s">
        <v>30</v>
      </c>
      <c r="K636" s="45">
        <v>7</v>
      </c>
      <c r="L636">
        <f t="shared" si="221"/>
        <v>2018</v>
      </c>
      <c r="M636" s="15">
        <f t="shared" si="222"/>
        <v>2018.75</v>
      </c>
      <c r="N636" s="5">
        <f>23780+3868.57+3868.57</f>
        <v>31517.14</v>
      </c>
      <c r="O636" s="5">
        <f t="shared" si="223"/>
        <v>31517.14</v>
      </c>
      <c r="P636" s="5">
        <f t="shared" si="224"/>
        <v>375.20404761904757</v>
      </c>
      <c r="Q636" s="5">
        <f t="shared" si="225"/>
        <v>4502.4485714285711</v>
      </c>
      <c r="R636" s="5">
        <f t="shared" si="226"/>
        <v>0</v>
      </c>
      <c r="S636" s="5">
        <f t="shared" si="227"/>
        <v>31517.14</v>
      </c>
      <c r="T636" s="5">
        <f t="shared" si="228"/>
        <v>31517.14</v>
      </c>
      <c r="U636" s="5">
        <f t="shared" si="229"/>
        <v>0</v>
      </c>
    </row>
    <row r="637" spans="2:21">
      <c r="B637">
        <v>418</v>
      </c>
      <c r="C637" t="s">
        <v>509</v>
      </c>
      <c r="E637">
        <v>86803</v>
      </c>
      <c r="G637">
        <v>2011</v>
      </c>
      <c r="H637">
        <v>9</v>
      </c>
      <c r="I637">
        <v>0</v>
      </c>
      <c r="J637" t="s">
        <v>30</v>
      </c>
      <c r="K637" s="45">
        <v>7</v>
      </c>
      <c r="L637">
        <f t="shared" si="221"/>
        <v>2018</v>
      </c>
      <c r="M637" s="15">
        <f t="shared" si="222"/>
        <v>2018.75</v>
      </c>
      <c r="N637" s="5">
        <v>23780.3</v>
      </c>
      <c r="O637" s="5">
        <f t="shared" si="223"/>
        <v>23780.3</v>
      </c>
      <c r="P637" s="5">
        <f t="shared" si="224"/>
        <v>283.09880952380951</v>
      </c>
      <c r="Q637" s="5">
        <f t="shared" si="225"/>
        <v>3397.1857142857143</v>
      </c>
      <c r="R637" s="5">
        <f t="shared" si="226"/>
        <v>0</v>
      </c>
      <c r="S637" s="5">
        <f t="shared" si="227"/>
        <v>23780.3</v>
      </c>
      <c r="T637" s="5">
        <f t="shared" si="228"/>
        <v>23780.3</v>
      </c>
      <c r="U637" s="5">
        <f t="shared" si="229"/>
        <v>0</v>
      </c>
    </row>
    <row r="638" spans="2:21">
      <c r="B638">
        <v>423</v>
      </c>
      <c r="C638" t="s">
        <v>509</v>
      </c>
      <c r="E638">
        <v>86802</v>
      </c>
      <c r="G638">
        <v>2011</v>
      </c>
      <c r="H638">
        <v>9</v>
      </c>
      <c r="I638">
        <v>0</v>
      </c>
      <c r="J638" t="s">
        <v>30</v>
      </c>
      <c r="K638" s="45">
        <v>7</v>
      </c>
      <c r="L638">
        <f t="shared" si="221"/>
        <v>2018</v>
      </c>
      <c r="M638" s="15">
        <f t="shared" si="222"/>
        <v>2018.75</v>
      </c>
      <c r="N638" s="5">
        <v>24527.09</v>
      </c>
      <c r="O638" s="5">
        <f t="shared" si="223"/>
        <v>24527.09</v>
      </c>
      <c r="P638" s="5">
        <f t="shared" si="224"/>
        <v>291.98916666666668</v>
      </c>
      <c r="Q638" s="5">
        <f t="shared" si="225"/>
        <v>3503.87</v>
      </c>
      <c r="R638" s="5">
        <f t="shared" si="226"/>
        <v>0</v>
      </c>
      <c r="S638" s="5">
        <f t="shared" si="227"/>
        <v>24527.09</v>
      </c>
      <c r="T638" s="5">
        <f t="shared" si="228"/>
        <v>24527.09</v>
      </c>
      <c r="U638" s="5">
        <f t="shared" si="229"/>
        <v>0</v>
      </c>
    </row>
    <row r="639" spans="2:21">
      <c r="B639">
        <v>624</v>
      </c>
      <c r="C639" t="s">
        <v>604</v>
      </c>
      <c r="E639">
        <v>104869</v>
      </c>
      <c r="G639">
        <v>2013</v>
      </c>
      <c r="H639">
        <v>6</v>
      </c>
      <c r="I639">
        <v>0</v>
      </c>
      <c r="J639" t="s">
        <v>30</v>
      </c>
      <c r="K639" s="45">
        <v>7</v>
      </c>
      <c r="L639">
        <f t="shared" si="221"/>
        <v>2020</v>
      </c>
      <c r="M639" s="15">
        <f t="shared" si="222"/>
        <v>2020.5</v>
      </c>
      <c r="N639" s="5">
        <v>33271.040000000001</v>
      </c>
      <c r="O639" s="5">
        <f t="shared" si="223"/>
        <v>33271.040000000001</v>
      </c>
      <c r="P639" s="5">
        <f t="shared" si="224"/>
        <v>396.08380952380952</v>
      </c>
      <c r="Q639" s="5">
        <f t="shared" si="225"/>
        <v>4753.005714285714</v>
      </c>
      <c r="R639" s="5">
        <f t="shared" si="226"/>
        <v>4753.005714285714</v>
      </c>
      <c r="S639" s="5">
        <f t="shared" si="227"/>
        <v>23765.028571428571</v>
      </c>
      <c r="T639" s="5">
        <f t="shared" si="228"/>
        <v>28518.034285714286</v>
      </c>
      <c r="U639" s="5">
        <f t="shared" si="229"/>
        <v>4753.0057142857149</v>
      </c>
    </row>
    <row r="640" spans="2:21">
      <c r="B640">
        <v>486</v>
      </c>
      <c r="C640" t="s">
        <v>604</v>
      </c>
      <c r="E640">
        <v>105519</v>
      </c>
      <c r="G640">
        <v>2013</v>
      </c>
      <c r="H640">
        <v>6</v>
      </c>
      <c r="I640">
        <v>0</v>
      </c>
      <c r="J640" t="s">
        <v>30</v>
      </c>
      <c r="K640" s="45">
        <v>7</v>
      </c>
      <c r="L640">
        <f t="shared" si="221"/>
        <v>2020</v>
      </c>
      <c r="M640" s="15">
        <f t="shared" si="222"/>
        <v>2020.5</v>
      </c>
      <c r="N640" s="5">
        <v>26401</v>
      </c>
      <c r="O640" s="5">
        <f t="shared" si="223"/>
        <v>26401</v>
      </c>
      <c r="P640" s="5">
        <f t="shared" si="224"/>
        <v>314.29761904761904</v>
      </c>
      <c r="Q640" s="5">
        <f t="shared" si="225"/>
        <v>3771.5714285714284</v>
      </c>
      <c r="R640" s="5">
        <f t="shared" si="226"/>
        <v>3771.5714285714284</v>
      </c>
      <c r="S640" s="5">
        <f t="shared" si="227"/>
        <v>18857.857142857141</v>
      </c>
      <c r="T640" s="5">
        <f t="shared" si="228"/>
        <v>22629.428571428569</v>
      </c>
      <c r="U640" s="5">
        <f t="shared" si="229"/>
        <v>3771.5714285714312</v>
      </c>
    </row>
    <row r="641" spans="2:21">
      <c r="B641">
        <v>400</v>
      </c>
      <c r="C641" t="s">
        <v>604</v>
      </c>
      <c r="E641">
        <v>106804</v>
      </c>
      <c r="G641">
        <v>2013</v>
      </c>
      <c r="H641">
        <v>8</v>
      </c>
      <c r="I641">
        <v>0</v>
      </c>
      <c r="J641" t="s">
        <v>30</v>
      </c>
      <c r="K641" s="45">
        <v>7</v>
      </c>
      <c r="L641">
        <f t="shared" si="221"/>
        <v>2020</v>
      </c>
      <c r="M641" s="15">
        <f t="shared" si="222"/>
        <v>2020.6666666666667</v>
      </c>
      <c r="N641" s="5">
        <v>22636.93</v>
      </c>
      <c r="O641" s="5">
        <f t="shared" si="223"/>
        <v>22636.93</v>
      </c>
      <c r="P641" s="5">
        <f t="shared" si="224"/>
        <v>269.48726190476191</v>
      </c>
      <c r="Q641" s="5">
        <f t="shared" si="225"/>
        <v>3233.8471428571429</v>
      </c>
      <c r="R641" s="5">
        <f t="shared" si="226"/>
        <v>3233.8471428571429</v>
      </c>
      <c r="S641" s="5">
        <f t="shared" si="227"/>
        <v>16169.235714285714</v>
      </c>
      <c r="T641" s="5">
        <f t="shared" si="228"/>
        <v>19403.082857142857</v>
      </c>
      <c r="U641" s="5">
        <f t="shared" si="229"/>
        <v>3233.8471428571429</v>
      </c>
    </row>
    <row r="642" spans="2:21">
      <c r="B642">
        <f>549*2</f>
        <v>1098</v>
      </c>
      <c r="C642" t="s">
        <v>155</v>
      </c>
      <c r="E642" t="s">
        <v>718</v>
      </c>
      <c r="G642">
        <v>2014</v>
      </c>
      <c r="H642">
        <v>7</v>
      </c>
      <c r="I642">
        <v>0</v>
      </c>
      <c r="J642" t="s">
        <v>30</v>
      </c>
      <c r="K642" s="45">
        <v>7</v>
      </c>
      <c r="L642">
        <f t="shared" si="221"/>
        <v>2021</v>
      </c>
      <c r="M642" s="15">
        <f t="shared" si="222"/>
        <v>2021.5833333333333</v>
      </c>
      <c r="N642" s="5">
        <f>30193.63*2</f>
        <v>60387.26</v>
      </c>
      <c r="O642" s="5">
        <f t="shared" si="223"/>
        <v>60387.26</v>
      </c>
      <c r="P642" s="5">
        <f t="shared" si="224"/>
        <v>718.89595238095251</v>
      </c>
      <c r="Q642" s="5">
        <f t="shared" si="225"/>
        <v>8626.7514285714296</v>
      </c>
      <c r="R642" s="5">
        <f t="shared" si="226"/>
        <v>8626.7514285714296</v>
      </c>
      <c r="S642" s="5">
        <f t="shared" si="227"/>
        <v>34507.005714285719</v>
      </c>
      <c r="T642" s="5">
        <f t="shared" si="228"/>
        <v>43133.757142857146</v>
      </c>
      <c r="U642" s="5">
        <f t="shared" si="229"/>
        <v>17253.502857142856</v>
      </c>
    </row>
    <row r="643" spans="2:21">
      <c r="B643">
        <v>1098</v>
      </c>
      <c r="C643" t="s">
        <v>155</v>
      </c>
      <c r="E643">
        <v>112495</v>
      </c>
      <c r="G643">
        <v>2014</v>
      </c>
      <c r="H643">
        <v>4</v>
      </c>
      <c r="I643">
        <v>0</v>
      </c>
      <c r="J643" t="s">
        <v>30</v>
      </c>
      <c r="K643" s="45">
        <v>7</v>
      </c>
      <c r="L643">
        <f t="shared" si="221"/>
        <v>2021</v>
      </c>
      <c r="M643" s="15">
        <f t="shared" si="222"/>
        <v>2021.3333333333333</v>
      </c>
      <c r="N643" s="5">
        <v>58237.919999999998</v>
      </c>
      <c r="O643" s="5">
        <f t="shared" si="223"/>
        <v>58237.919999999998</v>
      </c>
      <c r="P643" s="5">
        <f t="shared" si="224"/>
        <v>693.30857142857133</v>
      </c>
      <c r="Q643" s="5">
        <f t="shared" si="225"/>
        <v>8319.7028571428564</v>
      </c>
      <c r="R643" s="5">
        <f t="shared" si="226"/>
        <v>8319.7028571428564</v>
      </c>
      <c r="S643" s="5">
        <f t="shared" si="227"/>
        <v>33278.811428571425</v>
      </c>
      <c r="T643" s="5">
        <f t="shared" si="228"/>
        <v>41598.514285714278</v>
      </c>
      <c r="U643" s="5">
        <f t="shared" si="229"/>
        <v>16639.40571428572</v>
      </c>
    </row>
    <row r="644" spans="2:21">
      <c r="B644">
        <v>549</v>
      </c>
      <c r="C644" t="s">
        <v>155</v>
      </c>
      <c r="E644">
        <v>116970</v>
      </c>
      <c r="G644">
        <v>2014</v>
      </c>
      <c r="H644">
        <v>9</v>
      </c>
      <c r="I644">
        <v>0</v>
      </c>
      <c r="J644" t="s">
        <v>30</v>
      </c>
      <c r="K644" s="45">
        <v>7</v>
      </c>
      <c r="L644">
        <f t="shared" si="221"/>
        <v>2021</v>
      </c>
      <c r="M644" s="15">
        <f t="shared" si="222"/>
        <v>2021.75</v>
      </c>
      <c r="N644" s="5">
        <v>30794.2</v>
      </c>
      <c r="O644" s="5">
        <f t="shared" si="223"/>
        <v>30794.2</v>
      </c>
      <c r="P644" s="5">
        <f t="shared" si="224"/>
        <v>366.59761904761905</v>
      </c>
      <c r="Q644" s="5">
        <f t="shared" si="225"/>
        <v>4399.1714285714288</v>
      </c>
      <c r="R644" s="5">
        <f t="shared" si="226"/>
        <v>4399.1714285714288</v>
      </c>
      <c r="S644" s="5">
        <f t="shared" si="227"/>
        <v>17596.685714285715</v>
      </c>
      <c r="T644" s="5">
        <f t="shared" si="228"/>
        <v>21995.857142857145</v>
      </c>
      <c r="U644" s="5">
        <f t="shared" si="229"/>
        <v>8798.3428571428558</v>
      </c>
    </row>
    <row r="645" spans="2:21">
      <c r="B645">
        <v>624</v>
      </c>
      <c r="C645" t="s">
        <v>728</v>
      </c>
      <c r="E645">
        <v>117837</v>
      </c>
      <c r="G645">
        <v>2014</v>
      </c>
      <c r="H645">
        <v>10</v>
      </c>
      <c r="I645">
        <v>0</v>
      </c>
      <c r="J645" t="s">
        <v>30</v>
      </c>
      <c r="K645" s="45">
        <v>7</v>
      </c>
      <c r="L645">
        <f t="shared" si="221"/>
        <v>2021</v>
      </c>
      <c r="M645" s="15">
        <f t="shared" si="222"/>
        <v>2021.8333333333333</v>
      </c>
      <c r="N645" s="5">
        <v>26546.799999999999</v>
      </c>
      <c r="O645" s="5">
        <f t="shared" si="223"/>
        <v>26546.799999999999</v>
      </c>
      <c r="P645" s="5">
        <f t="shared" si="224"/>
        <v>316.03333333333336</v>
      </c>
      <c r="Q645" s="5">
        <f t="shared" si="225"/>
        <v>3792.4000000000005</v>
      </c>
      <c r="R645" s="5">
        <f t="shared" si="226"/>
        <v>3792.4000000000005</v>
      </c>
      <c r="S645" s="5">
        <f t="shared" si="227"/>
        <v>15169.600000000002</v>
      </c>
      <c r="T645" s="5">
        <f t="shared" si="228"/>
        <v>18962.000000000004</v>
      </c>
      <c r="U645" s="5">
        <f t="shared" si="229"/>
        <v>7584.7999999999956</v>
      </c>
    </row>
    <row r="646" spans="2:21">
      <c r="B646">
        <v>624</v>
      </c>
      <c r="C646" t="s">
        <v>755</v>
      </c>
      <c r="E646">
        <v>123052</v>
      </c>
      <c r="G646">
        <v>2015</v>
      </c>
      <c r="H646">
        <v>4</v>
      </c>
      <c r="I646">
        <v>0</v>
      </c>
      <c r="J646" t="s">
        <v>30</v>
      </c>
      <c r="K646" s="45">
        <v>7</v>
      </c>
      <c r="L646">
        <f t="shared" si="221"/>
        <v>2022</v>
      </c>
      <c r="M646" s="15">
        <f t="shared" si="222"/>
        <v>2022.3333333333333</v>
      </c>
      <c r="N646" s="5">
        <v>32729.22</v>
      </c>
      <c r="O646" s="5">
        <f t="shared" si="223"/>
        <v>32729.22</v>
      </c>
      <c r="P646" s="5">
        <f t="shared" si="224"/>
        <v>389.63357142857143</v>
      </c>
      <c r="Q646" s="5">
        <f t="shared" si="225"/>
        <v>4675.6028571428569</v>
      </c>
      <c r="R646" s="5">
        <f t="shared" si="226"/>
        <v>4675.6028571428569</v>
      </c>
      <c r="S646" s="5">
        <f t="shared" si="227"/>
        <v>14026.80857142857</v>
      </c>
      <c r="T646" s="5">
        <f t="shared" si="228"/>
        <v>18702.411428571428</v>
      </c>
      <c r="U646" s="5">
        <f t="shared" si="229"/>
        <v>14026.808571428573</v>
      </c>
    </row>
    <row r="647" spans="2:21">
      <c r="B647">
        <v>624</v>
      </c>
      <c r="C647" t="s">
        <v>755</v>
      </c>
      <c r="E647">
        <v>123053</v>
      </c>
      <c r="G647">
        <v>2015</v>
      </c>
      <c r="H647">
        <v>4</v>
      </c>
      <c r="I647">
        <v>0</v>
      </c>
      <c r="J647" t="s">
        <v>30</v>
      </c>
      <c r="K647" s="45">
        <v>7</v>
      </c>
      <c r="L647">
        <f t="shared" ref="L647:L653" si="230">G647+K647</f>
        <v>2022</v>
      </c>
      <c r="M647" s="15">
        <f t="shared" si="222"/>
        <v>2022.3333333333333</v>
      </c>
      <c r="N647" s="5">
        <v>32729.22</v>
      </c>
      <c r="O647" s="5">
        <f t="shared" si="223"/>
        <v>32729.22</v>
      </c>
      <c r="P647" s="5">
        <f t="shared" si="224"/>
        <v>389.63357142857143</v>
      </c>
      <c r="Q647" s="5">
        <f t="shared" si="225"/>
        <v>4675.6028571428569</v>
      </c>
      <c r="R647" s="5">
        <f t="shared" si="226"/>
        <v>4675.6028571428569</v>
      </c>
      <c r="S647" s="5">
        <f t="shared" si="227"/>
        <v>14026.80857142857</v>
      </c>
      <c r="T647" s="5">
        <f t="shared" si="228"/>
        <v>18702.411428571428</v>
      </c>
      <c r="U647" s="5">
        <f t="shared" si="229"/>
        <v>14026.808571428573</v>
      </c>
    </row>
    <row r="648" spans="2:21">
      <c r="B648">
        <v>624</v>
      </c>
      <c r="C648" t="s">
        <v>755</v>
      </c>
      <c r="E648">
        <v>123055</v>
      </c>
      <c r="G648">
        <v>2015</v>
      </c>
      <c r="H648">
        <v>6</v>
      </c>
      <c r="I648">
        <v>0</v>
      </c>
      <c r="J648" t="s">
        <v>30</v>
      </c>
      <c r="K648" s="45">
        <v>7</v>
      </c>
      <c r="L648">
        <f t="shared" si="230"/>
        <v>2022</v>
      </c>
      <c r="M648" s="15">
        <f t="shared" si="222"/>
        <v>2022.5</v>
      </c>
      <c r="N648" s="5">
        <v>32479.15</v>
      </c>
      <c r="O648" s="5">
        <f t="shared" si="223"/>
        <v>32479.15</v>
      </c>
      <c r="P648" s="5">
        <f t="shared" si="224"/>
        <v>386.65654761904761</v>
      </c>
      <c r="Q648" s="5">
        <f t="shared" si="225"/>
        <v>4639.8785714285714</v>
      </c>
      <c r="R648" s="5">
        <f t="shared" si="226"/>
        <v>4639.8785714285714</v>
      </c>
      <c r="S648" s="5">
        <f t="shared" si="227"/>
        <v>13919.635714285714</v>
      </c>
      <c r="T648" s="5">
        <f t="shared" si="228"/>
        <v>18559.514285714286</v>
      </c>
      <c r="U648" s="5">
        <f t="shared" si="229"/>
        <v>13919.635714285716</v>
      </c>
    </row>
    <row r="649" spans="2:21">
      <c r="B649">
        <v>624</v>
      </c>
      <c r="C649" t="s">
        <v>755</v>
      </c>
      <c r="E649">
        <v>123056</v>
      </c>
      <c r="G649">
        <v>2015</v>
      </c>
      <c r="H649">
        <v>6</v>
      </c>
      <c r="I649">
        <v>0</v>
      </c>
      <c r="J649" t="s">
        <v>30</v>
      </c>
      <c r="K649" s="45">
        <v>7</v>
      </c>
      <c r="L649">
        <f t="shared" si="230"/>
        <v>2022</v>
      </c>
      <c r="M649" s="15">
        <f t="shared" si="222"/>
        <v>2022.5</v>
      </c>
      <c r="N649" s="5">
        <v>32479.15</v>
      </c>
      <c r="O649" s="5">
        <f t="shared" si="223"/>
        <v>32479.15</v>
      </c>
      <c r="P649" s="5">
        <f t="shared" si="224"/>
        <v>386.65654761904761</v>
      </c>
      <c r="Q649" s="5">
        <f t="shared" si="225"/>
        <v>4639.8785714285714</v>
      </c>
      <c r="R649" s="5">
        <f t="shared" si="226"/>
        <v>4639.8785714285714</v>
      </c>
      <c r="S649" s="5">
        <f t="shared" si="227"/>
        <v>13919.635714285714</v>
      </c>
      <c r="T649" s="5">
        <f t="shared" si="228"/>
        <v>18559.514285714286</v>
      </c>
      <c r="U649" s="5">
        <f t="shared" si="229"/>
        <v>13919.635714285716</v>
      </c>
    </row>
    <row r="650" spans="2:21">
      <c r="B650">
        <f>624*2</f>
        <v>1248</v>
      </c>
      <c r="C650" t="s">
        <v>755</v>
      </c>
      <c r="E650" t="s">
        <v>790</v>
      </c>
      <c r="G650">
        <v>2015</v>
      </c>
      <c r="H650">
        <v>10</v>
      </c>
      <c r="I650">
        <v>0</v>
      </c>
      <c r="J650" t="s">
        <v>30</v>
      </c>
      <c r="K650" s="45">
        <v>7</v>
      </c>
      <c r="L650">
        <f t="shared" si="230"/>
        <v>2022</v>
      </c>
      <c r="M650" s="15">
        <f t="shared" si="222"/>
        <v>2022.8333333333333</v>
      </c>
      <c r="N650" s="5">
        <f>32121.15*2</f>
        <v>64242.3</v>
      </c>
      <c r="O650" s="5">
        <f t="shared" si="223"/>
        <v>64242.3</v>
      </c>
      <c r="P650" s="5">
        <f t="shared" si="224"/>
        <v>764.78928571428571</v>
      </c>
      <c r="Q650" s="5">
        <f t="shared" si="225"/>
        <v>9177.471428571429</v>
      </c>
      <c r="R650" s="5">
        <f t="shared" si="226"/>
        <v>9177.471428571429</v>
      </c>
      <c r="S650" s="5">
        <f t="shared" si="227"/>
        <v>27532.414285714287</v>
      </c>
      <c r="T650" s="5">
        <f t="shared" si="228"/>
        <v>36709.885714285716</v>
      </c>
      <c r="U650" s="5">
        <f t="shared" si="229"/>
        <v>27532.414285714287</v>
      </c>
    </row>
    <row r="651" spans="2:21">
      <c r="B651">
        <v>504</v>
      </c>
      <c r="C651" t="s">
        <v>826</v>
      </c>
      <c r="E651">
        <v>132007</v>
      </c>
      <c r="G651">
        <v>2016</v>
      </c>
      <c r="H651">
        <v>4</v>
      </c>
      <c r="I651">
        <v>0</v>
      </c>
      <c r="J651" t="s">
        <v>30</v>
      </c>
      <c r="K651" s="45">
        <v>7</v>
      </c>
      <c r="L651">
        <f t="shared" si="230"/>
        <v>2023</v>
      </c>
      <c r="M651" s="15">
        <f t="shared" si="222"/>
        <v>2023.3333333333333</v>
      </c>
      <c r="N651" s="5">
        <v>25010.39</v>
      </c>
      <c r="O651" s="5">
        <f t="shared" si="223"/>
        <v>25010.39</v>
      </c>
      <c r="P651" s="5">
        <f t="shared" si="224"/>
        <v>297.74273809523805</v>
      </c>
      <c r="Q651" s="5">
        <f t="shared" si="225"/>
        <v>3572.9128571428564</v>
      </c>
      <c r="R651" s="5">
        <f t="shared" si="226"/>
        <v>3572.9128571428564</v>
      </c>
      <c r="S651" s="5">
        <f t="shared" si="227"/>
        <v>7145.8257142857128</v>
      </c>
      <c r="T651" s="5">
        <f t="shared" si="228"/>
        <v>10718.73857142857</v>
      </c>
      <c r="U651" s="5">
        <f t="shared" si="229"/>
        <v>14291.651428571429</v>
      </c>
    </row>
    <row r="652" spans="2:21">
      <c r="B652">
        <v>504</v>
      </c>
      <c r="C652" t="s">
        <v>826</v>
      </c>
      <c r="E652">
        <v>132008</v>
      </c>
      <c r="G652">
        <v>2016</v>
      </c>
      <c r="H652">
        <v>3</v>
      </c>
      <c r="I652">
        <v>0</v>
      </c>
      <c r="J652" t="s">
        <v>30</v>
      </c>
      <c r="K652" s="45">
        <v>7</v>
      </c>
      <c r="L652">
        <f t="shared" si="230"/>
        <v>2023</v>
      </c>
      <c r="M652" s="15">
        <f t="shared" si="222"/>
        <v>2023.25</v>
      </c>
      <c r="N652" s="5">
        <v>25010.38</v>
      </c>
      <c r="O652" s="5">
        <f t="shared" si="223"/>
        <v>25010.38</v>
      </c>
      <c r="P652" s="5">
        <f t="shared" si="224"/>
        <v>297.74261904761903</v>
      </c>
      <c r="Q652" s="5">
        <f t="shared" si="225"/>
        <v>3572.9114285714286</v>
      </c>
      <c r="R652" s="5">
        <f t="shared" si="226"/>
        <v>3572.9114285714286</v>
      </c>
      <c r="S652" s="5">
        <f t="shared" si="227"/>
        <v>7145.8228571428572</v>
      </c>
      <c r="T652" s="5">
        <f t="shared" si="228"/>
        <v>10718.734285714287</v>
      </c>
      <c r="U652" s="5">
        <f t="shared" si="229"/>
        <v>14291.645714285714</v>
      </c>
    </row>
    <row r="653" spans="2:21">
      <c r="B653">
        <v>549</v>
      </c>
      <c r="C653" t="s">
        <v>826</v>
      </c>
      <c r="E653">
        <v>133409</v>
      </c>
      <c r="G653">
        <v>2016</v>
      </c>
      <c r="H653">
        <v>6</v>
      </c>
      <c r="I653">
        <v>0</v>
      </c>
      <c r="J653" t="s">
        <v>30</v>
      </c>
      <c r="K653" s="45">
        <v>7</v>
      </c>
      <c r="L653">
        <f t="shared" si="230"/>
        <v>2023</v>
      </c>
      <c r="M653" s="15">
        <f t="shared" si="222"/>
        <v>2023.5</v>
      </c>
      <c r="N653" s="5">
        <v>27028.37</v>
      </c>
      <c r="O653" s="5">
        <f t="shared" si="223"/>
        <v>27028.37</v>
      </c>
      <c r="P653" s="5">
        <f t="shared" si="224"/>
        <v>321.76630952380953</v>
      </c>
      <c r="Q653" s="5">
        <f t="shared" si="225"/>
        <v>3861.1957142857145</v>
      </c>
      <c r="R653" s="5">
        <f t="shared" si="226"/>
        <v>3861.1957142857145</v>
      </c>
      <c r="S653" s="5">
        <f t="shared" si="227"/>
        <v>7722.3914285714291</v>
      </c>
      <c r="T653" s="5">
        <f t="shared" si="228"/>
        <v>11583.587142857144</v>
      </c>
      <c r="U653" s="5">
        <f t="shared" si="229"/>
        <v>15444.782857142854</v>
      </c>
    </row>
    <row r="654" spans="2:21">
      <c r="B654">
        <v>549</v>
      </c>
      <c r="C654" t="s">
        <v>826</v>
      </c>
      <c r="E654">
        <v>166068</v>
      </c>
      <c r="G654">
        <v>2016</v>
      </c>
      <c r="H654">
        <v>7</v>
      </c>
      <c r="I654">
        <v>0</v>
      </c>
      <c r="J654" t="s">
        <v>30</v>
      </c>
      <c r="K654" s="45">
        <v>7</v>
      </c>
      <c r="L654">
        <f t="shared" ref="L654:L666" si="231">G654+K654</f>
        <v>2023</v>
      </c>
      <c r="M654" s="15">
        <f t="shared" si="222"/>
        <v>2023.5833333333333</v>
      </c>
      <c r="N654" s="5">
        <v>26801.4</v>
      </c>
      <c r="O654" s="5">
        <f t="shared" si="223"/>
        <v>26801.4</v>
      </c>
      <c r="P654" s="5">
        <f t="shared" si="224"/>
        <v>319.06428571428575</v>
      </c>
      <c r="Q654" s="5">
        <f t="shared" si="225"/>
        <v>3828.7714285714292</v>
      </c>
      <c r="R654" s="5">
        <f t="shared" si="226"/>
        <v>3828.7714285714292</v>
      </c>
      <c r="S654" s="5">
        <f t="shared" si="227"/>
        <v>7657.5428571428583</v>
      </c>
      <c r="T654" s="5">
        <f t="shared" si="228"/>
        <v>11486.314285714288</v>
      </c>
      <c r="U654" s="5">
        <f t="shared" si="229"/>
        <v>15315.085714285713</v>
      </c>
    </row>
    <row r="655" spans="2:21">
      <c r="B655">
        <v>486</v>
      </c>
      <c r="C655" t="s">
        <v>826</v>
      </c>
      <c r="E655">
        <v>168665</v>
      </c>
      <c r="G655">
        <v>2016</v>
      </c>
      <c r="H655">
        <v>9</v>
      </c>
      <c r="I655">
        <v>0</v>
      </c>
      <c r="J655" t="s">
        <v>30</v>
      </c>
      <c r="K655" s="45">
        <v>7</v>
      </c>
      <c r="L655">
        <f t="shared" si="231"/>
        <v>2023</v>
      </c>
      <c r="M655" s="15">
        <f t="shared" si="222"/>
        <v>2023.75</v>
      </c>
      <c r="N655" s="5">
        <v>26240.6</v>
      </c>
      <c r="O655" s="5">
        <f t="shared" si="223"/>
        <v>26240.6</v>
      </c>
      <c r="P655" s="5">
        <f t="shared" si="224"/>
        <v>312.38809523809522</v>
      </c>
      <c r="Q655" s="5">
        <f t="shared" si="225"/>
        <v>3748.6571428571424</v>
      </c>
      <c r="R655" s="5">
        <f t="shared" si="226"/>
        <v>3748.6571428571424</v>
      </c>
      <c r="S655" s="5">
        <f t="shared" si="227"/>
        <v>7497.3142857142848</v>
      </c>
      <c r="T655" s="5">
        <f t="shared" si="228"/>
        <v>11245.971428571427</v>
      </c>
      <c r="U655" s="5">
        <f t="shared" si="229"/>
        <v>14994.628571428571</v>
      </c>
    </row>
    <row r="656" spans="2:21">
      <c r="B656">
        <v>486</v>
      </c>
      <c r="C656" t="s">
        <v>826</v>
      </c>
      <c r="E656">
        <v>168984</v>
      </c>
      <c r="G656">
        <v>2016</v>
      </c>
      <c r="H656">
        <v>10</v>
      </c>
      <c r="I656">
        <v>0</v>
      </c>
      <c r="J656" t="s">
        <v>30</v>
      </c>
      <c r="K656" s="45">
        <v>7</v>
      </c>
      <c r="L656">
        <f t="shared" si="231"/>
        <v>2023</v>
      </c>
      <c r="M656" s="15">
        <f t="shared" si="222"/>
        <v>2023.8333333333333</v>
      </c>
      <c r="N656" s="5">
        <v>26099.16</v>
      </c>
      <c r="O656" s="5">
        <f t="shared" si="223"/>
        <v>26099.16</v>
      </c>
      <c r="P656" s="5">
        <f t="shared" si="224"/>
        <v>310.70428571428573</v>
      </c>
      <c r="Q656" s="5">
        <f t="shared" si="225"/>
        <v>3728.4514285714286</v>
      </c>
      <c r="R656" s="5">
        <f t="shared" si="226"/>
        <v>3728.4514285714286</v>
      </c>
      <c r="S656" s="5">
        <f t="shared" si="227"/>
        <v>7456.9028571428571</v>
      </c>
      <c r="T656" s="5">
        <f t="shared" si="228"/>
        <v>11185.354285714286</v>
      </c>
      <c r="U656" s="5">
        <f t="shared" si="229"/>
        <v>14913.805714285714</v>
      </c>
    </row>
    <row r="657" spans="2:21">
      <c r="B657">
        <v>486</v>
      </c>
      <c r="C657" t="s">
        <v>826</v>
      </c>
      <c r="E657">
        <v>168985</v>
      </c>
      <c r="G657">
        <v>2016</v>
      </c>
      <c r="H657">
        <v>10</v>
      </c>
      <c r="I657">
        <v>0</v>
      </c>
      <c r="J657" t="s">
        <v>30</v>
      </c>
      <c r="K657" s="45">
        <v>7</v>
      </c>
      <c r="L657">
        <f t="shared" si="231"/>
        <v>2023</v>
      </c>
      <c r="M657" s="15">
        <f t="shared" si="222"/>
        <v>2023.8333333333333</v>
      </c>
      <c r="N657" s="5">
        <v>26099.16</v>
      </c>
      <c r="O657" s="5">
        <f t="shared" ref="O657:O666" si="232">N657-N657*I657</f>
        <v>26099.16</v>
      </c>
      <c r="P657" s="5">
        <f t="shared" ref="P657:P666" si="233">O657/K657/12</f>
        <v>310.70428571428573</v>
      </c>
      <c r="Q657" s="5">
        <f t="shared" si="225"/>
        <v>3728.4514285714286</v>
      </c>
      <c r="R657" s="5">
        <f t="shared" si="226"/>
        <v>3728.4514285714286</v>
      </c>
      <c r="S657" s="5">
        <f t="shared" si="227"/>
        <v>7456.9028571428571</v>
      </c>
      <c r="T657" s="5">
        <f t="shared" si="228"/>
        <v>11185.354285714286</v>
      </c>
      <c r="U657" s="5">
        <f t="shared" si="229"/>
        <v>14913.805714285714</v>
      </c>
    </row>
    <row r="658" spans="2:21">
      <c r="B658">
        <v>702</v>
      </c>
      <c r="C658" t="s">
        <v>826</v>
      </c>
      <c r="E658">
        <v>177914</v>
      </c>
      <c r="G658">
        <v>2017</v>
      </c>
      <c r="H658">
        <v>3</v>
      </c>
      <c r="I658">
        <v>0</v>
      </c>
      <c r="J658" t="s">
        <v>30</v>
      </c>
      <c r="K658" s="45">
        <v>7</v>
      </c>
      <c r="L658">
        <f t="shared" si="231"/>
        <v>2024</v>
      </c>
      <c r="M658" s="15">
        <f t="shared" si="222"/>
        <v>2024.25</v>
      </c>
      <c r="N658" s="5">
        <v>37138.620000000003</v>
      </c>
      <c r="O658" s="5">
        <f t="shared" si="232"/>
        <v>37138.620000000003</v>
      </c>
      <c r="P658" s="5">
        <f t="shared" si="233"/>
        <v>442.12642857142856</v>
      </c>
      <c r="Q658" s="5">
        <f t="shared" si="225"/>
        <v>5305.517142857143</v>
      </c>
      <c r="R658" s="5">
        <f t="shared" si="226"/>
        <v>5305.517142857143</v>
      </c>
      <c r="S658" s="5">
        <f t="shared" si="227"/>
        <v>5305.517142857143</v>
      </c>
      <c r="T658" s="5">
        <f t="shared" si="228"/>
        <v>10611.034285714286</v>
      </c>
      <c r="U658" s="5">
        <f t="shared" si="229"/>
        <v>26527.585714285717</v>
      </c>
    </row>
    <row r="659" spans="2:21">
      <c r="B659">
        <v>624</v>
      </c>
      <c r="C659" t="s">
        <v>826</v>
      </c>
      <c r="E659">
        <v>183931</v>
      </c>
      <c r="G659">
        <v>2017</v>
      </c>
      <c r="H659">
        <v>6</v>
      </c>
      <c r="I659">
        <v>0</v>
      </c>
      <c r="J659" t="s">
        <v>30</v>
      </c>
      <c r="K659" s="45">
        <v>7</v>
      </c>
      <c r="L659">
        <f t="shared" si="231"/>
        <v>2024</v>
      </c>
      <c r="M659" s="15">
        <f t="shared" si="222"/>
        <v>2024.5</v>
      </c>
      <c r="N659" s="5">
        <v>32784.07</v>
      </c>
      <c r="O659" s="5">
        <f t="shared" si="232"/>
        <v>32784.07</v>
      </c>
      <c r="P659" s="5">
        <f t="shared" si="233"/>
        <v>390.28654761904767</v>
      </c>
      <c r="Q659" s="5">
        <f t="shared" si="225"/>
        <v>4683.4385714285718</v>
      </c>
      <c r="R659" s="5">
        <f t="shared" si="226"/>
        <v>4683.4385714285718</v>
      </c>
      <c r="S659" s="5">
        <f t="shared" si="227"/>
        <v>4683.4385714285718</v>
      </c>
      <c r="T659" s="5">
        <f t="shared" si="228"/>
        <v>9366.8771428571436</v>
      </c>
      <c r="U659" s="5">
        <f t="shared" si="229"/>
        <v>23417.192857142858</v>
      </c>
    </row>
    <row r="660" spans="2:21">
      <c r="B660">
        <v>624</v>
      </c>
      <c r="C660" t="s">
        <v>826</v>
      </c>
      <c r="E660">
        <v>183932</v>
      </c>
      <c r="G660">
        <v>2017</v>
      </c>
      <c r="H660">
        <v>6</v>
      </c>
      <c r="I660">
        <v>0</v>
      </c>
      <c r="J660" t="s">
        <v>30</v>
      </c>
      <c r="K660" s="45">
        <v>7</v>
      </c>
      <c r="L660">
        <f t="shared" si="231"/>
        <v>2024</v>
      </c>
      <c r="M660" s="15">
        <f t="shared" si="222"/>
        <v>2024.5</v>
      </c>
      <c r="N660" s="5">
        <v>32784.07</v>
      </c>
      <c r="O660" s="5">
        <f t="shared" si="232"/>
        <v>32784.07</v>
      </c>
      <c r="P660" s="5">
        <f t="shared" si="233"/>
        <v>390.28654761904767</v>
      </c>
      <c r="Q660" s="5">
        <f t="shared" si="225"/>
        <v>4683.4385714285718</v>
      </c>
      <c r="R660" s="5">
        <f t="shared" si="226"/>
        <v>4683.4385714285718</v>
      </c>
      <c r="S660" s="5">
        <f t="shared" si="227"/>
        <v>4683.4385714285718</v>
      </c>
      <c r="T660" s="5">
        <f t="shared" si="228"/>
        <v>9366.8771428571436</v>
      </c>
      <c r="U660" s="5">
        <f t="shared" si="229"/>
        <v>23417.192857142858</v>
      </c>
    </row>
    <row r="661" spans="2:21">
      <c r="B661">
        <v>624</v>
      </c>
      <c r="C661" t="s">
        <v>826</v>
      </c>
      <c r="E661">
        <v>189891</v>
      </c>
      <c r="G661">
        <v>2017</v>
      </c>
      <c r="H661">
        <v>11</v>
      </c>
      <c r="I661">
        <v>0</v>
      </c>
      <c r="J661" t="s">
        <v>30</v>
      </c>
      <c r="K661" s="45">
        <v>7</v>
      </c>
      <c r="L661">
        <f t="shared" si="231"/>
        <v>2024</v>
      </c>
      <c r="M661" s="15">
        <f t="shared" si="222"/>
        <v>2024.9166666666667</v>
      </c>
      <c r="N661" s="5">
        <v>32816.879999999997</v>
      </c>
      <c r="O661" s="5">
        <f t="shared" si="232"/>
        <v>32816.879999999997</v>
      </c>
      <c r="P661" s="5">
        <f t="shared" si="233"/>
        <v>390.67714285714283</v>
      </c>
      <c r="Q661" s="5">
        <f t="shared" si="225"/>
        <v>4688.1257142857139</v>
      </c>
      <c r="R661" s="5">
        <f t="shared" si="226"/>
        <v>4688.1257142857139</v>
      </c>
      <c r="S661" s="5">
        <f t="shared" si="227"/>
        <v>4688.1257142857139</v>
      </c>
      <c r="T661" s="5">
        <f t="shared" si="228"/>
        <v>9376.2514285714278</v>
      </c>
      <c r="U661" s="5">
        <f t="shared" si="229"/>
        <v>23440.62857142857</v>
      </c>
    </row>
    <row r="662" spans="2:21">
      <c r="B662">
        <v>600</v>
      </c>
      <c r="C662" t="s">
        <v>903</v>
      </c>
      <c r="E662">
        <v>187203</v>
      </c>
      <c r="G662">
        <v>2017</v>
      </c>
      <c r="H662">
        <v>8</v>
      </c>
      <c r="I662">
        <v>0</v>
      </c>
      <c r="J662" t="s">
        <v>30</v>
      </c>
      <c r="K662" s="45">
        <v>7</v>
      </c>
      <c r="L662">
        <f t="shared" si="231"/>
        <v>2024</v>
      </c>
      <c r="M662" s="15">
        <f t="shared" si="222"/>
        <v>2024.6666666666667</v>
      </c>
      <c r="N662" s="5">
        <v>31542.89</v>
      </c>
      <c r="O662" s="5">
        <f t="shared" si="232"/>
        <v>31542.89</v>
      </c>
      <c r="P662" s="5">
        <f t="shared" si="233"/>
        <v>375.51059523809522</v>
      </c>
      <c r="Q662" s="5">
        <f t="shared" si="225"/>
        <v>4506.1271428571426</v>
      </c>
      <c r="R662" s="5">
        <f t="shared" si="226"/>
        <v>4506.1271428571426</v>
      </c>
      <c r="S662" s="5">
        <f t="shared" si="227"/>
        <v>4506.1271428571426</v>
      </c>
      <c r="T662" s="5">
        <f t="shared" si="228"/>
        <v>9012.2542857142853</v>
      </c>
      <c r="U662" s="5">
        <f t="shared" si="229"/>
        <v>22530.635714285716</v>
      </c>
    </row>
    <row r="663" spans="2:21" ht="12.75" customHeight="1">
      <c r="B663">
        <v>624</v>
      </c>
      <c r="C663" t="s">
        <v>926</v>
      </c>
      <c r="E663">
        <v>193678</v>
      </c>
      <c r="G663">
        <v>2018</v>
      </c>
      <c r="H663">
        <v>2</v>
      </c>
      <c r="I663">
        <v>0</v>
      </c>
      <c r="J663" t="s">
        <v>30</v>
      </c>
      <c r="K663" s="45">
        <v>7</v>
      </c>
      <c r="L663">
        <f t="shared" si="231"/>
        <v>2025</v>
      </c>
      <c r="M663" s="15">
        <f t="shared" si="222"/>
        <v>2025.1666666666667</v>
      </c>
      <c r="N663" s="5">
        <v>33628.550000000003</v>
      </c>
      <c r="O663" s="5">
        <f t="shared" si="232"/>
        <v>33628.550000000003</v>
      </c>
      <c r="P663" s="5">
        <f t="shared" si="233"/>
        <v>400.33988095238101</v>
      </c>
      <c r="Q663" s="5">
        <f t="shared" si="225"/>
        <v>4804.0785714285721</v>
      </c>
      <c r="R663" s="5">
        <f t="shared" si="226"/>
        <v>4804.0785714285721</v>
      </c>
      <c r="S663" s="5">
        <f t="shared" si="227"/>
        <v>0</v>
      </c>
      <c r="T663" s="5">
        <f t="shared" si="228"/>
        <v>4804.0785714285721</v>
      </c>
      <c r="U663" s="5">
        <f t="shared" si="229"/>
        <v>28824.471428571429</v>
      </c>
    </row>
    <row r="664" spans="2:21">
      <c r="B664">
        <v>624</v>
      </c>
      <c r="C664" t="s">
        <v>926</v>
      </c>
      <c r="E664">
        <v>193679</v>
      </c>
      <c r="G664">
        <v>2018</v>
      </c>
      <c r="H664">
        <v>2</v>
      </c>
      <c r="I664">
        <v>0</v>
      </c>
      <c r="J664" t="s">
        <v>30</v>
      </c>
      <c r="K664" s="45">
        <v>7</v>
      </c>
      <c r="L664">
        <f t="shared" si="231"/>
        <v>2025</v>
      </c>
      <c r="M664" s="15">
        <f t="shared" si="222"/>
        <v>2025.1666666666667</v>
      </c>
      <c r="N664" s="5">
        <v>33628.550000000003</v>
      </c>
      <c r="O664" s="5">
        <f t="shared" si="232"/>
        <v>33628.550000000003</v>
      </c>
      <c r="P664" s="5">
        <f t="shared" si="233"/>
        <v>400.33988095238101</v>
      </c>
      <c r="Q664" s="5">
        <f t="shared" si="225"/>
        <v>4804.0785714285721</v>
      </c>
      <c r="R664" s="5">
        <f t="shared" si="226"/>
        <v>4804.0785714285721</v>
      </c>
      <c r="S664" s="5">
        <f t="shared" si="227"/>
        <v>0</v>
      </c>
      <c r="T664" s="5">
        <f t="shared" si="228"/>
        <v>4804.0785714285721</v>
      </c>
      <c r="U664" s="5">
        <f t="shared" si="229"/>
        <v>28824.471428571429</v>
      </c>
    </row>
    <row r="665" spans="2:21">
      <c r="B665">
        <v>624</v>
      </c>
      <c r="C665" t="s">
        <v>931</v>
      </c>
      <c r="E665">
        <v>198691</v>
      </c>
      <c r="G665">
        <v>2018</v>
      </c>
      <c r="H665">
        <v>6</v>
      </c>
      <c r="I665">
        <v>0</v>
      </c>
      <c r="J665" t="s">
        <v>30</v>
      </c>
      <c r="K665" s="45">
        <v>7</v>
      </c>
      <c r="L665">
        <f t="shared" si="231"/>
        <v>2025</v>
      </c>
      <c r="M665" s="15">
        <f t="shared" si="222"/>
        <v>2025.5</v>
      </c>
      <c r="N665" s="5">
        <v>33402.910000000003</v>
      </c>
      <c r="O665" s="5">
        <f t="shared" si="232"/>
        <v>33402.910000000003</v>
      </c>
      <c r="P665" s="5">
        <f t="shared" si="233"/>
        <v>397.65369047619055</v>
      </c>
      <c r="Q665" s="5">
        <f t="shared" si="225"/>
        <v>4771.8442857142863</v>
      </c>
      <c r="R665" s="5">
        <f t="shared" si="226"/>
        <v>4771.8442857142863</v>
      </c>
      <c r="S665" s="5">
        <f t="shared" si="227"/>
        <v>0</v>
      </c>
      <c r="T665" s="5">
        <f t="shared" si="228"/>
        <v>4771.8442857142863</v>
      </c>
      <c r="U665" s="5">
        <f t="shared" si="229"/>
        <v>28631.065714285716</v>
      </c>
    </row>
    <row r="666" spans="2:21">
      <c r="B666">
        <v>624</v>
      </c>
      <c r="C666" t="s">
        <v>931</v>
      </c>
      <c r="E666">
        <v>200357</v>
      </c>
      <c r="G666">
        <v>2018</v>
      </c>
      <c r="H666">
        <v>6</v>
      </c>
      <c r="I666">
        <v>0</v>
      </c>
      <c r="J666" t="s">
        <v>30</v>
      </c>
      <c r="K666" s="45">
        <v>7</v>
      </c>
      <c r="L666">
        <f t="shared" si="231"/>
        <v>2025</v>
      </c>
      <c r="M666" s="15">
        <f t="shared" si="222"/>
        <v>2025.5</v>
      </c>
      <c r="N666" s="5">
        <v>33402.910000000003</v>
      </c>
      <c r="O666" s="5">
        <f t="shared" si="232"/>
        <v>33402.910000000003</v>
      </c>
      <c r="P666" s="5">
        <f t="shared" si="233"/>
        <v>397.65369047619055</v>
      </c>
      <c r="Q666" s="5">
        <f t="shared" si="225"/>
        <v>4771.8442857142863</v>
      </c>
      <c r="R666" s="5">
        <f t="shared" si="226"/>
        <v>4771.8442857142863</v>
      </c>
      <c r="S666" s="5">
        <f t="shared" si="227"/>
        <v>0</v>
      </c>
      <c r="T666" s="5">
        <f t="shared" si="228"/>
        <v>4771.8442857142863</v>
      </c>
      <c r="U666" s="5">
        <f t="shared" si="229"/>
        <v>28631.065714285716</v>
      </c>
    </row>
    <row r="667" spans="2:21">
      <c r="B667">
        <v>624</v>
      </c>
      <c r="C667" t="s">
        <v>1047</v>
      </c>
      <c r="E667">
        <v>202237</v>
      </c>
      <c r="G667">
        <v>2018</v>
      </c>
      <c r="H667">
        <v>8</v>
      </c>
      <c r="I667">
        <v>0</v>
      </c>
      <c r="J667" t="s">
        <v>30</v>
      </c>
      <c r="K667" s="45">
        <v>7</v>
      </c>
      <c r="L667">
        <f>G667+K667</f>
        <v>2025</v>
      </c>
      <c r="M667" s="15">
        <f>+L667+(H667/12)</f>
        <v>2025.6666666666667</v>
      </c>
      <c r="N667" s="5">
        <v>34064.42</v>
      </c>
      <c r="O667" s="5">
        <f>N667-N667*I667</f>
        <v>34064.42</v>
      </c>
      <c r="P667" s="5">
        <f>O667/K667/12</f>
        <v>405.52880952380951</v>
      </c>
      <c r="Q667" s="5">
        <f>P667*12</f>
        <v>4866.3457142857142</v>
      </c>
      <c r="R667" s="5">
        <f t="shared" si="226"/>
        <v>4866.3457142857142</v>
      </c>
      <c r="S667" s="5">
        <f t="shared" si="227"/>
        <v>0</v>
      </c>
      <c r="T667" s="5">
        <f t="shared" si="228"/>
        <v>4866.3457142857142</v>
      </c>
      <c r="U667" s="5">
        <f t="shared" si="229"/>
        <v>29198.074285714283</v>
      </c>
    </row>
    <row r="668" spans="2:21">
      <c r="B668">
        <v>624</v>
      </c>
      <c r="C668" t="s">
        <v>1047</v>
      </c>
      <c r="E668">
        <v>202238</v>
      </c>
      <c r="G668">
        <v>2018</v>
      </c>
      <c r="H668">
        <v>8</v>
      </c>
      <c r="I668">
        <v>0</v>
      </c>
      <c r="J668" t="s">
        <v>30</v>
      </c>
      <c r="K668" s="45">
        <v>7</v>
      </c>
      <c r="L668">
        <f>G668+K668</f>
        <v>2025</v>
      </c>
      <c r="M668" s="15">
        <f>+L668+(H668/12)</f>
        <v>2025.6666666666667</v>
      </c>
      <c r="N668" s="5">
        <v>34064.42</v>
      </c>
      <c r="O668" s="5">
        <f>N668-N668*I668</f>
        <v>34064.42</v>
      </c>
      <c r="P668" s="5">
        <f>O668/K668/12</f>
        <v>405.52880952380951</v>
      </c>
      <c r="Q668" s="5">
        <f>P668*12</f>
        <v>4866.3457142857142</v>
      </c>
      <c r="R668" s="5">
        <f t="shared" si="226"/>
        <v>4866.3457142857142</v>
      </c>
      <c r="S668" s="5">
        <f t="shared" si="227"/>
        <v>0</v>
      </c>
      <c r="T668" s="5">
        <f t="shared" si="228"/>
        <v>4866.3457142857142</v>
      </c>
      <c r="U668" s="5">
        <f t="shared" si="229"/>
        <v>29198.074285714283</v>
      </c>
    </row>
    <row r="669" spans="2:21">
      <c r="B669">
        <v>624</v>
      </c>
      <c r="C669" t="s">
        <v>1098</v>
      </c>
      <c r="E669">
        <v>212308</v>
      </c>
      <c r="G669">
        <v>2019</v>
      </c>
      <c r="H669">
        <v>3</v>
      </c>
      <c r="I669">
        <v>0</v>
      </c>
      <c r="J669" t="s">
        <v>30</v>
      </c>
      <c r="K669" s="45">
        <v>7</v>
      </c>
      <c r="L669">
        <f>G669+K669</f>
        <v>2026</v>
      </c>
      <c r="M669" s="15">
        <f>+L669+(H669/12)</f>
        <v>2026.25</v>
      </c>
      <c r="N669" s="5">
        <v>31901.46</v>
      </c>
      <c r="O669" s="5">
        <f>N669-N669*I669</f>
        <v>31901.46</v>
      </c>
      <c r="P669" s="5">
        <f>O669/K669/12</f>
        <v>379.77928571428566</v>
      </c>
      <c r="Q669" s="5">
        <f>P669*12</f>
        <v>4557.3514285714282</v>
      </c>
      <c r="R669" s="5">
        <f t="shared" si="226"/>
        <v>4557.3514285714282</v>
      </c>
      <c r="S669" s="5">
        <f t="shared" si="227"/>
        <v>0</v>
      </c>
      <c r="T669" s="5">
        <f t="shared" si="228"/>
        <v>4557.3514285714282</v>
      </c>
      <c r="U669" s="5">
        <f t="shared" si="229"/>
        <v>27344.108571428573</v>
      </c>
    </row>
    <row r="670" spans="2:21">
      <c r="B670">
        <f>936+1248</f>
        <v>2184</v>
      </c>
      <c r="C670" t="s">
        <v>931</v>
      </c>
      <c r="E670" t="s">
        <v>1099</v>
      </c>
      <c r="G670">
        <v>2019</v>
      </c>
      <c r="H670">
        <v>6</v>
      </c>
      <c r="I670">
        <v>0</v>
      </c>
      <c r="J670" t="s">
        <v>30</v>
      </c>
      <c r="K670" s="45">
        <v>7</v>
      </c>
      <c r="L670">
        <f>G670+K670</f>
        <v>2026</v>
      </c>
      <c r="M670" s="15">
        <f>+L670+(H670/12)</f>
        <v>2026.5</v>
      </c>
      <c r="N670" s="5">
        <f>46475.57+61397</f>
        <v>107872.57</v>
      </c>
      <c r="O670" s="5">
        <f>N670-N670*I670</f>
        <v>107872.57</v>
      </c>
      <c r="P670" s="5">
        <f>O670/K670/12</f>
        <v>1284.1972619047619</v>
      </c>
      <c r="Q670" s="5">
        <f>P670*12</f>
        <v>15410.367142857143</v>
      </c>
      <c r="R670" s="5">
        <f t="shared" si="226"/>
        <v>15410.367142857143</v>
      </c>
      <c r="S670" s="5">
        <f t="shared" si="227"/>
        <v>0</v>
      </c>
      <c r="T670" s="5">
        <f t="shared" si="228"/>
        <v>15410.367142857143</v>
      </c>
      <c r="U670" s="5">
        <f t="shared" si="229"/>
        <v>92462.202857142867</v>
      </c>
    </row>
    <row r="671" spans="2:21">
      <c r="B671">
        <v>1404</v>
      </c>
      <c r="C671" t="s">
        <v>931</v>
      </c>
      <c r="E671">
        <v>221708</v>
      </c>
      <c r="G671">
        <v>2019</v>
      </c>
      <c r="H671">
        <v>9</v>
      </c>
      <c r="I671">
        <v>0</v>
      </c>
      <c r="J671" t="s">
        <v>30</v>
      </c>
      <c r="K671" s="45">
        <v>7</v>
      </c>
      <c r="L671">
        <f>G671+K671</f>
        <v>2026</v>
      </c>
      <c r="M671" s="15">
        <f>+L671+(H671/12)</f>
        <v>2026.75</v>
      </c>
      <c r="N671" s="5">
        <v>64666.87</v>
      </c>
      <c r="O671" s="5">
        <f>N671-N671*I671</f>
        <v>64666.87</v>
      </c>
      <c r="P671" s="5">
        <f>O671/K671/12</f>
        <v>769.84369047619055</v>
      </c>
      <c r="Q671" s="5">
        <f>P671*12</f>
        <v>9238.1242857142861</v>
      </c>
      <c r="R671" s="5">
        <f>+IF(M671&lt;=$O$5,0,IF(L671&gt;$O$4,Q671,(P671*H671)))</f>
        <v>9238.1242857142861</v>
      </c>
      <c r="S671" s="5">
        <f>+IF(R671=0,N671,IF($O$3-G671&lt;1,0,(($O$3-G671)*Q671)))</f>
        <v>0</v>
      </c>
      <c r="T671" s="5">
        <f>+IF(R671=0,S671,S671+R671)</f>
        <v>9238.1242857142861</v>
      </c>
      <c r="U671" s="5">
        <f>+N671-T671</f>
        <v>55428.745714285717</v>
      </c>
    </row>
    <row r="672" spans="2:21">
      <c r="M672" s="15"/>
    </row>
    <row r="673" spans="1:21">
      <c r="M673" s="15"/>
    </row>
    <row r="674" spans="1:21">
      <c r="L674" s="6" t="s">
        <v>464</v>
      </c>
      <c r="M674" s="36"/>
      <c r="N674" s="9">
        <f t="shared" ref="N674:U674" si="234">SUM(N598:N673)</f>
        <v>2042077.0599999998</v>
      </c>
      <c r="O674" s="9">
        <f t="shared" si="234"/>
        <v>2042077.0599999998</v>
      </c>
      <c r="P674" s="9">
        <f t="shared" si="234"/>
        <v>24310.441190476187</v>
      </c>
      <c r="Q674" s="9">
        <f t="shared" si="234"/>
        <v>291725.29428571434</v>
      </c>
      <c r="R674" s="9">
        <f t="shared" si="234"/>
        <v>172703.26285714284</v>
      </c>
      <c r="S674" s="9">
        <f t="shared" si="234"/>
        <v>1151873.0971428575</v>
      </c>
      <c r="T674" s="9">
        <f t="shared" si="234"/>
        <v>1324576.3599999999</v>
      </c>
      <c r="U674" s="9">
        <f t="shared" si="234"/>
        <v>717500.70000000019</v>
      </c>
    </row>
    <row r="675" spans="1:21">
      <c r="M675" s="15"/>
    </row>
    <row r="676" spans="1:21">
      <c r="A676" s="4" t="s">
        <v>458</v>
      </c>
      <c r="M676" s="15"/>
    </row>
    <row r="677" spans="1:21">
      <c r="B677">
        <v>19</v>
      </c>
      <c r="C677" t="s">
        <v>126</v>
      </c>
      <c r="G677">
        <v>2000</v>
      </c>
      <c r="H677">
        <v>6</v>
      </c>
      <c r="I677">
        <v>0</v>
      </c>
      <c r="J677" t="s">
        <v>30</v>
      </c>
      <c r="K677" s="45" t="s">
        <v>35</v>
      </c>
      <c r="L677">
        <f t="shared" ref="L677:L708" si="235">G677+K677</f>
        <v>2010</v>
      </c>
      <c r="M677" s="15">
        <f t="shared" ref="M677:M708" si="236">+L677+(H677/12)</f>
        <v>2010.5</v>
      </c>
      <c r="N677" s="5">
        <v>8292.6</v>
      </c>
      <c r="O677" s="5">
        <f t="shared" ref="O677:O708" si="237">N677-N677*I677</f>
        <v>8292.6</v>
      </c>
      <c r="P677" s="5">
        <f t="shared" ref="P677:P708" si="238">O677/K677/12</f>
        <v>69.105000000000004</v>
      </c>
      <c r="Q677" s="5">
        <f t="shared" ref="Q677:Q708" si="239">P677*12</f>
        <v>829.26</v>
      </c>
      <c r="R677" s="5">
        <f>+IF(M677&lt;=$O$5,0,IF(L677&gt;$O$4,Q677,(P677*H677)))</f>
        <v>0</v>
      </c>
      <c r="S677" s="5">
        <f>+IF(R677=0,N677,IF($O$3-G677&lt;1,0,(($O$3-G677)*Q677)))</f>
        <v>8292.6</v>
      </c>
      <c r="T677" s="5">
        <f>+IF(R677=0,S677,S677+R677)</f>
        <v>8292.6</v>
      </c>
      <c r="U677" s="5">
        <f>+N677-T677</f>
        <v>0</v>
      </c>
    </row>
    <row r="678" spans="1:21">
      <c r="B678">
        <v>19</v>
      </c>
      <c r="C678" t="s">
        <v>120</v>
      </c>
      <c r="G678">
        <v>2000</v>
      </c>
      <c r="H678">
        <v>7</v>
      </c>
      <c r="I678">
        <v>0</v>
      </c>
      <c r="J678" t="s">
        <v>30</v>
      </c>
      <c r="K678" s="45" t="s">
        <v>35</v>
      </c>
      <c r="L678">
        <f t="shared" si="235"/>
        <v>2010</v>
      </c>
      <c r="M678" s="15">
        <f t="shared" si="236"/>
        <v>2010.5833333333333</v>
      </c>
      <c r="N678" s="5">
        <v>8292.6</v>
      </c>
      <c r="O678" s="5">
        <f t="shared" si="237"/>
        <v>8292.6</v>
      </c>
      <c r="P678" s="5">
        <f t="shared" si="238"/>
        <v>69.105000000000004</v>
      </c>
      <c r="Q678" s="5">
        <f t="shared" si="239"/>
        <v>829.26</v>
      </c>
      <c r="R678" s="5">
        <f t="shared" ref="R678:R708" si="240">+IF(M678&lt;=$O$5,0,IF(L678&gt;$O$4,Q678,(P678*H678)))</f>
        <v>0</v>
      </c>
      <c r="S678" s="5">
        <f t="shared" ref="S678:S708" si="241">+IF(R678=0,N678,IF($O$3-G678&lt;1,0,(($O$3-G678)*Q678)))</f>
        <v>8292.6</v>
      </c>
      <c r="T678" s="5">
        <f t="shared" ref="T678:T708" si="242">+IF(R678=0,S678,S678+R678)</f>
        <v>8292.6</v>
      </c>
      <c r="U678" s="5">
        <f t="shared" ref="U678:U708" si="243">+N678-T678</f>
        <v>0</v>
      </c>
    </row>
    <row r="679" spans="1:21">
      <c r="B679">
        <v>18</v>
      </c>
      <c r="C679" t="s">
        <v>122</v>
      </c>
      <c r="G679">
        <v>2000</v>
      </c>
      <c r="H679">
        <v>9</v>
      </c>
      <c r="I679">
        <v>0</v>
      </c>
      <c r="J679" t="s">
        <v>30</v>
      </c>
      <c r="K679" s="45" t="s">
        <v>35</v>
      </c>
      <c r="L679">
        <f t="shared" si="235"/>
        <v>2010</v>
      </c>
      <c r="M679" s="15">
        <f t="shared" si="236"/>
        <v>2010.75</v>
      </c>
      <c r="N679" s="5">
        <v>7831.9</v>
      </c>
      <c r="O679" s="5">
        <f t="shared" si="237"/>
        <v>7831.9</v>
      </c>
      <c r="P679" s="5">
        <f t="shared" si="238"/>
        <v>65.265833333333333</v>
      </c>
      <c r="Q679" s="5">
        <f t="shared" si="239"/>
        <v>783.19</v>
      </c>
      <c r="R679" s="5">
        <f t="shared" si="240"/>
        <v>0</v>
      </c>
      <c r="S679" s="5">
        <f t="shared" si="241"/>
        <v>7831.9</v>
      </c>
      <c r="T679" s="5">
        <f t="shared" si="242"/>
        <v>7831.9</v>
      </c>
      <c r="U679" s="5">
        <f t="shared" si="243"/>
        <v>0</v>
      </c>
    </row>
    <row r="680" spans="1:21">
      <c r="B680">
        <v>93</v>
      </c>
      <c r="C680" t="s">
        <v>131</v>
      </c>
      <c r="G680">
        <v>2000</v>
      </c>
      <c r="H680">
        <v>9</v>
      </c>
      <c r="I680">
        <v>0</v>
      </c>
      <c r="J680" t="s">
        <v>30</v>
      </c>
      <c r="K680" s="45" t="s">
        <v>35</v>
      </c>
      <c r="L680">
        <f t="shared" si="235"/>
        <v>2010</v>
      </c>
      <c r="M680" s="15">
        <f t="shared" si="236"/>
        <v>2010.75</v>
      </c>
      <c r="N680" s="5">
        <v>42321.52</v>
      </c>
      <c r="O680" s="5">
        <f t="shared" si="237"/>
        <v>42321.52</v>
      </c>
      <c r="P680" s="5">
        <f t="shared" si="238"/>
        <v>352.67933333333332</v>
      </c>
      <c r="Q680" s="5">
        <f t="shared" si="239"/>
        <v>4232.152</v>
      </c>
      <c r="R680" s="5">
        <f t="shared" si="240"/>
        <v>0</v>
      </c>
      <c r="S680" s="5">
        <f t="shared" si="241"/>
        <v>42321.52</v>
      </c>
      <c r="T680" s="5">
        <f t="shared" si="242"/>
        <v>42321.52</v>
      </c>
      <c r="U680" s="5">
        <f t="shared" si="243"/>
        <v>0</v>
      </c>
    </row>
    <row r="681" spans="1:21">
      <c r="B681">
        <v>0</v>
      </c>
      <c r="C681" t="s">
        <v>176</v>
      </c>
      <c r="G681">
        <v>2003</v>
      </c>
      <c r="H681">
        <v>1</v>
      </c>
      <c r="I681">
        <v>0</v>
      </c>
      <c r="J681" t="s">
        <v>30</v>
      </c>
      <c r="K681" s="45" t="s">
        <v>35</v>
      </c>
      <c r="L681">
        <f t="shared" si="235"/>
        <v>2013</v>
      </c>
      <c r="M681" s="15">
        <f t="shared" si="236"/>
        <v>2013.0833333333333</v>
      </c>
      <c r="N681" s="5">
        <v>4220.37</v>
      </c>
      <c r="O681" s="5">
        <f t="shared" si="237"/>
        <v>4220.37</v>
      </c>
      <c r="P681" s="5">
        <f t="shared" si="238"/>
        <v>35.169750000000001</v>
      </c>
      <c r="Q681" s="5">
        <f t="shared" si="239"/>
        <v>422.03700000000003</v>
      </c>
      <c r="R681" s="5">
        <f t="shared" si="240"/>
        <v>0</v>
      </c>
      <c r="S681" s="5">
        <f t="shared" si="241"/>
        <v>4220.37</v>
      </c>
      <c r="T681" s="5">
        <f t="shared" si="242"/>
        <v>4220.37</v>
      </c>
      <c r="U681" s="5">
        <f t="shared" si="243"/>
        <v>0</v>
      </c>
    </row>
    <row r="682" spans="1:21">
      <c r="B682">
        <v>19</v>
      </c>
      <c r="C682" t="s">
        <v>123</v>
      </c>
      <c r="G682">
        <v>2003</v>
      </c>
      <c r="H682">
        <v>11</v>
      </c>
      <c r="I682">
        <v>0</v>
      </c>
      <c r="J682" t="s">
        <v>30</v>
      </c>
      <c r="K682" s="45" t="s">
        <v>35</v>
      </c>
      <c r="L682">
        <f t="shared" si="235"/>
        <v>2013</v>
      </c>
      <c r="M682" s="15">
        <f t="shared" si="236"/>
        <v>2013.9166666666667</v>
      </c>
      <c r="N682" s="5">
        <v>8292.6</v>
      </c>
      <c r="O682" s="5">
        <f t="shared" si="237"/>
        <v>8292.6</v>
      </c>
      <c r="P682" s="5">
        <f t="shared" si="238"/>
        <v>69.105000000000004</v>
      </c>
      <c r="Q682" s="5">
        <f t="shared" si="239"/>
        <v>829.26</v>
      </c>
      <c r="R682" s="5">
        <f t="shared" si="240"/>
        <v>0</v>
      </c>
      <c r="S682" s="5">
        <f t="shared" si="241"/>
        <v>8292.6</v>
      </c>
      <c r="T682" s="5">
        <f t="shared" si="242"/>
        <v>8292.6</v>
      </c>
      <c r="U682" s="5">
        <f t="shared" si="243"/>
        <v>0</v>
      </c>
    </row>
    <row r="683" spans="1:21">
      <c r="B683">
        <v>45</v>
      </c>
      <c r="C683" t="s">
        <v>121</v>
      </c>
      <c r="G683">
        <v>2004</v>
      </c>
      <c r="H683">
        <v>3</v>
      </c>
      <c r="I683">
        <v>0</v>
      </c>
      <c r="J683" t="s">
        <v>30</v>
      </c>
      <c r="K683" s="45" t="s">
        <v>35</v>
      </c>
      <c r="L683">
        <f t="shared" si="235"/>
        <v>2014</v>
      </c>
      <c r="M683" s="15">
        <f t="shared" si="236"/>
        <v>2014.25</v>
      </c>
      <c r="N683" s="5">
        <v>19544.830000000002</v>
      </c>
      <c r="O683" s="5">
        <f t="shared" si="237"/>
        <v>19544.830000000002</v>
      </c>
      <c r="P683" s="5">
        <f t="shared" si="238"/>
        <v>162.87358333333336</v>
      </c>
      <c r="Q683" s="5">
        <f t="shared" si="239"/>
        <v>1954.4830000000002</v>
      </c>
      <c r="R683" s="5">
        <f t="shared" si="240"/>
        <v>0</v>
      </c>
      <c r="S683" s="5">
        <f t="shared" si="241"/>
        <v>19544.830000000002</v>
      </c>
      <c r="T683" s="5">
        <f t="shared" si="242"/>
        <v>19544.830000000002</v>
      </c>
      <c r="U683" s="5">
        <f t="shared" si="243"/>
        <v>0</v>
      </c>
    </row>
    <row r="684" spans="1:21">
      <c r="B684">
        <v>27</v>
      </c>
      <c r="C684" t="s">
        <v>81</v>
      </c>
      <c r="G684">
        <v>2004</v>
      </c>
      <c r="H684">
        <v>9</v>
      </c>
      <c r="I684">
        <v>0</v>
      </c>
      <c r="J684" t="s">
        <v>30</v>
      </c>
      <c r="K684" s="45" t="s">
        <v>35</v>
      </c>
      <c r="L684">
        <f t="shared" si="235"/>
        <v>2014</v>
      </c>
      <c r="M684" s="15">
        <f t="shared" si="236"/>
        <v>2014.75</v>
      </c>
      <c r="N684" s="5">
        <v>9302.4</v>
      </c>
      <c r="O684" s="5">
        <f t="shared" si="237"/>
        <v>9302.4</v>
      </c>
      <c r="P684" s="5">
        <f t="shared" si="238"/>
        <v>77.52</v>
      </c>
      <c r="Q684" s="5">
        <f t="shared" si="239"/>
        <v>930.24</v>
      </c>
      <c r="R684" s="5">
        <f t="shared" si="240"/>
        <v>0</v>
      </c>
      <c r="S684" s="5">
        <f t="shared" si="241"/>
        <v>9302.4</v>
      </c>
      <c r="T684" s="5">
        <f t="shared" si="242"/>
        <v>9302.4</v>
      </c>
      <c r="U684" s="5">
        <f t="shared" si="243"/>
        <v>0</v>
      </c>
    </row>
    <row r="685" spans="1:21">
      <c r="B685">
        <v>25</v>
      </c>
      <c r="C685" t="s">
        <v>112</v>
      </c>
      <c r="G685">
        <v>2005</v>
      </c>
      <c r="H685">
        <v>3</v>
      </c>
      <c r="I685">
        <v>0</v>
      </c>
      <c r="J685" t="s">
        <v>30</v>
      </c>
      <c r="K685" s="45" t="s">
        <v>35</v>
      </c>
      <c r="L685">
        <f t="shared" si="235"/>
        <v>2015</v>
      </c>
      <c r="M685" s="15">
        <f t="shared" si="236"/>
        <v>2015.25</v>
      </c>
      <c r="N685" s="5">
        <v>10281.6</v>
      </c>
      <c r="O685" s="5">
        <f t="shared" si="237"/>
        <v>10281.6</v>
      </c>
      <c r="P685" s="5">
        <f t="shared" si="238"/>
        <v>85.68</v>
      </c>
      <c r="Q685" s="5">
        <f t="shared" si="239"/>
        <v>1028.1600000000001</v>
      </c>
      <c r="R685" s="5">
        <f t="shared" si="240"/>
        <v>0</v>
      </c>
      <c r="S685" s="5">
        <f t="shared" si="241"/>
        <v>10281.6</v>
      </c>
      <c r="T685" s="5">
        <f t="shared" si="242"/>
        <v>10281.6</v>
      </c>
      <c r="U685" s="5">
        <f t="shared" si="243"/>
        <v>0</v>
      </c>
    </row>
    <row r="686" spans="1:21">
      <c r="B686">
        <v>71</v>
      </c>
      <c r="C686" t="s">
        <v>133</v>
      </c>
      <c r="G686">
        <v>2005</v>
      </c>
      <c r="H686">
        <v>3</v>
      </c>
      <c r="I686">
        <v>0</v>
      </c>
      <c r="J686" t="s">
        <v>30</v>
      </c>
      <c r="K686" s="45" t="s">
        <v>35</v>
      </c>
      <c r="L686">
        <f t="shared" si="235"/>
        <v>2015</v>
      </c>
      <c r="M686" s="15">
        <f t="shared" si="236"/>
        <v>2015.25</v>
      </c>
      <c r="N686" s="5">
        <f>32368+182.81</f>
        <v>32550.81</v>
      </c>
      <c r="O686" s="5">
        <f t="shared" si="237"/>
        <v>32550.81</v>
      </c>
      <c r="P686" s="5">
        <f t="shared" si="238"/>
        <v>271.25675000000001</v>
      </c>
      <c r="Q686" s="5">
        <f t="shared" si="239"/>
        <v>3255.0810000000001</v>
      </c>
      <c r="R686" s="5">
        <f t="shared" si="240"/>
        <v>0</v>
      </c>
      <c r="S686" s="5">
        <f t="shared" si="241"/>
        <v>32550.81</v>
      </c>
      <c r="T686" s="5">
        <f t="shared" si="242"/>
        <v>32550.81</v>
      </c>
      <c r="U686" s="5">
        <f t="shared" si="243"/>
        <v>0</v>
      </c>
    </row>
    <row r="687" spans="1:21">
      <c r="B687">
        <v>26</v>
      </c>
      <c r="C687" t="s">
        <v>125</v>
      </c>
      <c r="G687">
        <v>2005</v>
      </c>
      <c r="H687">
        <v>6</v>
      </c>
      <c r="I687">
        <v>0</v>
      </c>
      <c r="J687" t="s">
        <v>30</v>
      </c>
      <c r="K687" s="45" t="s">
        <v>35</v>
      </c>
      <c r="L687">
        <f t="shared" si="235"/>
        <v>2015</v>
      </c>
      <c r="M687" s="15">
        <f t="shared" si="236"/>
        <v>2015.5</v>
      </c>
      <c r="N687" s="5">
        <v>11397.89</v>
      </c>
      <c r="O687" s="5">
        <f t="shared" si="237"/>
        <v>11397.89</v>
      </c>
      <c r="P687" s="5">
        <f t="shared" si="238"/>
        <v>94.982416666666666</v>
      </c>
      <c r="Q687" s="5">
        <f t="shared" si="239"/>
        <v>1139.789</v>
      </c>
      <c r="R687" s="5">
        <f t="shared" si="240"/>
        <v>0</v>
      </c>
      <c r="S687" s="5">
        <f t="shared" si="241"/>
        <v>11397.89</v>
      </c>
      <c r="T687" s="5">
        <f t="shared" si="242"/>
        <v>11397.89</v>
      </c>
      <c r="U687" s="5">
        <f t="shared" si="243"/>
        <v>0</v>
      </c>
    </row>
    <row r="688" spans="1:21">
      <c r="B688">
        <v>26</v>
      </c>
      <c r="C688" t="s">
        <v>120</v>
      </c>
      <c r="G688">
        <v>2005</v>
      </c>
      <c r="H688">
        <v>8</v>
      </c>
      <c r="I688">
        <v>0</v>
      </c>
      <c r="J688" t="s">
        <v>30</v>
      </c>
      <c r="K688" s="45" t="s">
        <v>35</v>
      </c>
      <c r="L688">
        <f t="shared" si="235"/>
        <v>2015</v>
      </c>
      <c r="M688" s="15">
        <f t="shared" si="236"/>
        <v>2015.6666666666667</v>
      </c>
      <c r="N688" s="5">
        <v>11397.89</v>
      </c>
      <c r="O688" s="5">
        <f t="shared" si="237"/>
        <v>11397.89</v>
      </c>
      <c r="P688" s="5">
        <f t="shared" si="238"/>
        <v>94.982416666666666</v>
      </c>
      <c r="Q688" s="5">
        <f t="shared" si="239"/>
        <v>1139.789</v>
      </c>
      <c r="R688" s="5">
        <f t="shared" si="240"/>
        <v>0</v>
      </c>
      <c r="S688" s="5">
        <f t="shared" si="241"/>
        <v>11397.89</v>
      </c>
      <c r="T688" s="5">
        <f t="shared" si="242"/>
        <v>11397.89</v>
      </c>
      <c r="U688" s="5">
        <f t="shared" si="243"/>
        <v>0</v>
      </c>
    </row>
    <row r="689" spans="2:21">
      <c r="B689">
        <v>26</v>
      </c>
      <c r="C689" t="s">
        <v>133</v>
      </c>
      <c r="G689">
        <v>2005</v>
      </c>
      <c r="H689">
        <v>9</v>
      </c>
      <c r="I689">
        <v>0</v>
      </c>
      <c r="J689" t="s">
        <v>30</v>
      </c>
      <c r="K689" s="45" t="s">
        <v>35</v>
      </c>
      <c r="L689">
        <f t="shared" si="235"/>
        <v>2015</v>
      </c>
      <c r="M689" s="15">
        <f t="shared" si="236"/>
        <v>2015.75</v>
      </c>
      <c r="N689" s="5">
        <v>12022.4</v>
      </c>
      <c r="O689" s="5">
        <f t="shared" si="237"/>
        <v>12022.4</v>
      </c>
      <c r="P689" s="5">
        <f t="shared" si="238"/>
        <v>100.18666666666667</v>
      </c>
      <c r="Q689" s="5">
        <f t="shared" si="239"/>
        <v>1202.24</v>
      </c>
      <c r="R689" s="5">
        <f t="shared" si="240"/>
        <v>0</v>
      </c>
      <c r="S689" s="5">
        <f t="shared" si="241"/>
        <v>12022.4</v>
      </c>
      <c r="T689" s="5">
        <f t="shared" si="242"/>
        <v>12022.4</v>
      </c>
      <c r="U689" s="5">
        <f t="shared" si="243"/>
        <v>0</v>
      </c>
    </row>
    <row r="690" spans="2:21">
      <c r="B690">
        <v>74</v>
      </c>
      <c r="C690" t="s">
        <v>119</v>
      </c>
      <c r="G690">
        <v>2006</v>
      </c>
      <c r="H690">
        <v>1</v>
      </c>
      <c r="I690">
        <v>0</v>
      </c>
      <c r="J690" t="s">
        <v>30</v>
      </c>
      <c r="K690" s="45" t="s">
        <v>35</v>
      </c>
      <c r="L690">
        <f t="shared" si="235"/>
        <v>2016</v>
      </c>
      <c r="M690" s="15">
        <f t="shared" si="236"/>
        <v>2016.0833333333333</v>
      </c>
      <c r="N690" s="5">
        <v>32254.86</v>
      </c>
      <c r="O690" s="5">
        <f t="shared" si="237"/>
        <v>32254.86</v>
      </c>
      <c r="P690" s="5">
        <f t="shared" si="238"/>
        <v>268.79050000000001</v>
      </c>
      <c r="Q690" s="5">
        <f t="shared" si="239"/>
        <v>3225.4859999999999</v>
      </c>
      <c r="R690" s="5">
        <f t="shared" si="240"/>
        <v>0</v>
      </c>
      <c r="S690" s="5">
        <f t="shared" si="241"/>
        <v>32254.86</v>
      </c>
      <c r="T690" s="5">
        <f t="shared" si="242"/>
        <v>32254.86</v>
      </c>
      <c r="U690" s="5">
        <f t="shared" si="243"/>
        <v>0</v>
      </c>
    </row>
    <row r="691" spans="2:21">
      <c r="B691">
        <v>25</v>
      </c>
      <c r="C691" t="s">
        <v>120</v>
      </c>
      <c r="G691">
        <v>2006</v>
      </c>
      <c r="H691">
        <v>1</v>
      </c>
      <c r="I691">
        <v>0</v>
      </c>
      <c r="J691" t="s">
        <v>30</v>
      </c>
      <c r="K691" s="45" t="s">
        <v>35</v>
      </c>
      <c r="L691">
        <f t="shared" si="235"/>
        <v>2016</v>
      </c>
      <c r="M691" s="15">
        <f t="shared" si="236"/>
        <v>2016.0833333333333</v>
      </c>
      <c r="N691" s="5">
        <v>10751.62</v>
      </c>
      <c r="O691" s="5">
        <f t="shared" si="237"/>
        <v>10751.62</v>
      </c>
      <c r="P691" s="5">
        <f t="shared" si="238"/>
        <v>89.596833333333336</v>
      </c>
      <c r="Q691" s="5">
        <f t="shared" si="239"/>
        <v>1075.162</v>
      </c>
      <c r="R691" s="5">
        <f t="shared" si="240"/>
        <v>0</v>
      </c>
      <c r="S691" s="5">
        <f t="shared" si="241"/>
        <v>10751.62</v>
      </c>
      <c r="T691" s="5">
        <f t="shared" si="242"/>
        <v>10751.62</v>
      </c>
      <c r="U691" s="5">
        <f t="shared" si="243"/>
        <v>0</v>
      </c>
    </row>
    <row r="692" spans="2:21">
      <c r="B692">
        <v>36</v>
      </c>
      <c r="C692" t="s">
        <v>81</v>
      </c>
      <c r="G692">
        <v>2006</v>
      </c>
      <c r="H692">
        <v>2</v>
      </c>
      <c r="I692">
        <v>0</v>
      </c>
      <c r="J692" t="s">
        <v>30</v>
      </c>
      <c r="K692" s="45" t="s">
        <v>35</v>
      </c>
      <c r="L692">
        <f t="shared" si="235"/>
        <v>2016</v>
      </c>
      <c r="M692" s="15">
        <f t="shared" si="236"/>
        <v>2016.1666666666667</v>
      </c>
      <c r="N692" s="5">
        <v>12403.2</v>
      </c>
      <c r="O692" s="5">
        <f t="shared" si="237"/>
        <v>12403.2</v>
      </c>
      <c r="P692" s="5">
        <f t="shared" si="238"/>
        <v>103.36000000000001</v>
      </c>
      <c r="Q692" s="5">
        <f t="shared" si="239"/>
        <v>1240.3200000000002</v>
      </c>
      <c r="R692" s="5">
        <f t="shared" si="240"/>
        <v>0</v>
      </c>
      <c r="S692" s="5">
        <f t="shared" si="241"/>
        <v>12403.2</v>
      </c>
      <c r="T692" s="5">
        <f t="shared" si="242"/>
        <v>12403.2</v>
      </c>
      <c r="U692" s="5">
        <f t="shared" si="243"/>
        <v>0</v>
      </c>
    </row>
    <row r="693" spans="2:21">
      <c r="B693">
        <v>25</v>
      </c>
      <c r="C693" t="s">
        <v>124</v>
      </c>
      <c r="G693">
        <v>2006</v>
      </c>
      <c r="H693">
        <v>2</v>
      </c>
      <c r="I693">
        <v>0</v>
      </c>
      <c r="J693" t="s">
        <v>30</v>
      </c>
      <c r="K693" s="45" t="s">
        <v>35</v>
      </c>
      <c r="L693">
        <f t="shared" si="235"/>
        <v>2016</v>
      </c>
      <c r="M693" s="15">
        <f t="shared" si="236"/>
        <v>2016.1666666666667</v>
      </c>
      <c r="N693" s="5">
        <v>10672.56</v>
      </c>
      <c r="O693" s="5">
        <f t="shared" si="237"/>
        <v>10672.56</v>
      </c>
      <c r="P693" s="5">
        <f t="shared" si="238"/>
        <v>88.937999999999988</v>
      </c>
      <c r="Q693" s="5">
        <f t="shared" si="239"/>
        <v>1067.2559999999999</v>
      </c>
      <c r="R693" s="5">
        <f t="shared" si="240"/>
        <v>0</v>
      </c>
      <c r="S693" s="5">
        <f t="shared" si="241"/>
        <v>10672.56</v>
      </c>
      <c r="T693" s="5">
        <f t="shared" si="242"/>
        <v>10672.56</v>
      </c>
      <c r="U693" s="5">
        <f t="shared" si="243"/>
        <v>0</v>
      </c>
    </row>
    <row r="694" spans="2:21">
      <c r="B694">
        <v>38</v>
      </c>
      <c r="C694" t="s">
        <v>79</v>
      </c>
      <c r="G694">
        <v>2006</v>
      </c>
      <c r="H694">
        <v>6</v>
      </c>
      <c r="I694">
        <v>0</v>
      </c>
      <c r="J694" t="s">
        <v>30</v>
      </c>
      <c r="K694" s="45" t="s">
        <v>35</v>
      </c>
      <c r="L694">
        <f t="shared" si="235"/>
        <v>2016</v>
      </c>
      <c r="M694" s="15">
        <f t="shared" si="236"/>
        <v>2016.5</v>
      </c>
      <c r="N694" s="5">
        <v>13012.48</v>
      </c>
      <c r="O694" s="5">
        <f t="shared" si="237"/>
        <v>13012.48</v>
      </c>
      <c r="P694" s="5">
        <f t="shared" si="238"/>
        <v>108.43733333333334</v>
      </c>
      <c r="Q694" s="5">
        <f t="shared" si="239"/>
        <v>1301.248</v>
      </c>
      <c r="R694" s="5">
        <f t="shared" si="240"/>
        <v>0</v>
      </c>
      <c r="S694" s="5">
        <f t="shared" si="241"/>
        <v>13012.48</v>
      </c>
      <c r="T694" s="5">
        <f t="shared" si="242"/>
        <v>13012.48</v>
      </c>
      <c r="U694" s="5">
        <f t="shared" si="243"/>
        <v>0</v>
      </c>
    </row>
    <row r="695" spans="2:21">
      <c r="B695">
        <v>11</v>
      </c>
      <c r="C695" t="s">
        <v>133</v>
      </c>
      <c r="G695">
        <v>2006</v>
      </c>
      <c r="H695">
        <v>12</v>
      </c>
      <c r="I695">
        <v>0</v>
      </c>
      <c r="J695" t="s">
        <v>30</v>
      </c>
      <c r="K695" s="45" t="s">
        <v>35</v>
      </c>
      <c r="L695">
        <f t="shared" si="235"/>
        <v>2016</v>
      </c>
      <c r="M695" s="15">
        <f t="shared" si="236"/>
        <v>2017</v>
      </c>
      <c r="N695" s="5">
        <v>4841.6000000000004</v>
      </c>
      <c r="O695" s="5">
        <f t="shared" si="237"/>
        <v>4841.6000000000004</v>
      </c>
      <c r="P695" s="5">
        <f t="shared" si="238"/>
        <v>40.346666666666671</v>
      </c>
      <c r="Q695" s="5">
        <f t="shared" si="239"/>
        <v>484.16000000000008</v>
      </c>
      <c r="R695" s="5">
        <f t="shared" si="240"/>
        <v>0</v>
      </c>
      <c r="S695" s="5">
        <f t="shared" si="241"/>
        <v>4841.6000000000004</v>
      </c>
      <c r="T695" s="5">
        <f t="shared" si="242"/>
        <v>4841.6000000000004</v>
      </c>
      <c r="U695" s="5">
        <f t="shared" si="243"/>
        <v>0</v>
      </c>
    </row>
    <row r="696" spans="2:21">
      <c r="B696">
        <v>4</v>
      </c>
      <c r="C696" t="s">
        <v>133</v>
      </c>
      <c r="G696">
        <v>2006</v>
      </c>
      <c r="H696">
        <v>12</v>
      </c>
      <c r="I696">
        <v>0</v>
      </c>
      <c r="J696" t="s">
        <v>30</v>
      </c>
      <c r="K696" s="45" t="s">
        <v>35</v>
      </c>
      <c r="L696">
        <f t="shared" si="235"/>
        <v>2016</v>
      </c>
      <c r="M696" s="15">
        <f t="shared" si="236"/>
        <v>2017</v>
      </c>
      <c r="N696" s="5">
        <v>1936.64</v>
      </c>
      <c r="O696" s="5">
        <f t="shared" si="237"/>
        <v>1936.64</v>
      </c>
      <c r="P696" s="5">
        <f t="shared" si="238"/>
        <v>16.138666666666669</v>
      </c>
      <c r="Q696" s="5">
        <f t="shared" si="239"/>
        <v>193.66400000000004</v>
      </c>
      <c r="R696" s="5">
        <f t="shared" si="240"/>
        <v>0</v>
      </c>
      <c r="S696" s="5">
        <f t="shared" si="241"/>
        <v>1936.64</v>
      </c>
      <c r="T696" s="5">
        <f t="shared" si="242"/>
        <v>1936.64</v>
      </c>
      <c r="U696" s="5">
        <f t="shared" si="243"/>
        <v>0</v>
      </c>
    </row>
    <row r="697" spans="2:21">
      <c r="B697">
        <v>26</v>
      </c>
      <c r="C697" t="s">
        <v>120</v>
      </c>
      <c r="G697">
        <v>2007</v>
      </c>
      <c r="H697">
        <v>1</v>
      </c>
      <c r="I697">
        <v>0</v>
      </c>
      <c r="J697" t="s">
        <v>30</v>
      </c>
      <c r="K697" s="45" t="s">
        <v>35</v>
      </c>
      <c r="L697">
        <f t="shared" si="235"/>
        <v>2017</v>
      </c>
      <c r="M697" s="15">
        <f t="shared" si="236"/>
        <v>2017.0833333333333</v>
      </c>
      <c r="N697" s="5">
        <v>11260.8</v>
      </c>
      <c r="O697" s="5">
        <f t="shared" si="237"/>
        <v>11260.8</v>
      </c>
      <c r="P697" s="5">
        <f t="shared" si="238"/>
        <v>93.839999999999989</v>
      </c>
      <c r="Q697" s="5">
        <f t="shared" si="239"/>
        <v>1126.08</v>
      </c>
      <c r="R697" s="5">
        <f t="shared" si="240"/>
        <v>0</v>
      </c>
      <c r="S697" s="5">
        <f t="shared" si="241"/>
        <v>11260.8</v>
      </c>
      <c r="T697" s="5">
        <f t="shared" si="242"/>
        <v>11260.8</v>
      </c>
      <c r="U697" s="5">
        <f t="shared" si="243"/>
        <v>0</v>
      </c>
    </row>
    <row r="698" spans="2:21">
      <c r="B698">
        <v>53</v>
      </c>
      <c r="C698" t="s">
        <v>133</v>
      </c>
      <c r="G698">
        <v>2007</v>
      </c>
      <c r="H698">
        <v>2</v>
      </c>
      <c r="I698">
        <v>0</v>
      </c>
      <c r="J698" t="s">
        <v>30</v>
      </c>
      <c r="K698" s="45" t="s">
        <v>35</v>
      </c>
      <c r="L698">
        <f t="shared" si="235"/>
        <v>2017</v>
      </c>
      <c r="M698" s="15">
        <f t="shared" si="236"/>
        <v>2017.1666666666667</v>
      </c>
      <c r="N698" s="5">
        <v>24208</v>
      </c>
      <c r="O698" s="5">
        <f t="shared" si="237"/>
        <v>24208</v>
      </c>
      <c r="P698" s="5">
        <f t="shared" si="238"/>
        <v>201.73333333333335</v>
      </c>
      <c r="Q698" s="5">
        <f t="shared" si="239"/>
        <v>2420.8000000000002</v>
      </c>
      <c r="R698" s="5">
        <f t="shared" si="240"/>
        <v>0</v>
      </c>
      <c r="S698" s="5">
        <f t="shared" si="241"/>
        <v>24208</v>
      </c>
      <c r="T698" s="5">
        <f t="shared" si="242"/>
        <v>24208</v>
      </c>
      <c r="U698" s="5">
        <f t="shared" si="243"/>
        <v>0</v>
      </c>
    </row>
    <row r="699" spans="2:21">
      <c r="B699">
        <v>43</v>
      </c>
      <c r="C699" t="s">
        <v>133</v>
      </c>
      <c r="G699">
        <v>2007</v>
      </c>
      <c r="H699">
        <v>5</v>
      </c>
      <c r="I699">
        <v>0</v>
      </c>
      <c r="J699" t="s">
        <v>30</v>
      </c>
      <c r="K699" s="45" t="s">
        <v>35</v>
      </c>
      <c r="L699">
        <f t="shared" si="235"/>
        <v>2017</v>
      </c>
      <c r="M699" s="15">
        <f t="shared" si="236"/>
        <v>2017.4166666666667</v>
      </c>
      <c r="N699" s="5">
        <v>19384.2</v>
      </c>
      <c r="O699" s="5">
        <f t="shared" si="237"/>
        <v>19384.2</v>
      </c>
      <c r="P699" s="5">
        <f t="shared" si="238"/>
        <v>161.535</v>
      </c>
      <c r="Q699" s="5">
        <f t="shared" si="239"/>
        <v>1938.42</v>
      </c>
      <c r="R699" s="5">
        <f t="shared" si="240"/>
        <v>0</v>
      </c>
      <c r="S699" s="5">
        <f t="shared" si="241"/>
        <v>19384.2</v>
      </c>
      <c r="T699" s="5">
        <f t="shared" si="242"/>
        <v>19384.2</v>
      </c>
      <c r="U699" s="5">
        <f t="shared" si="243"/>
        <v>0</v>
      </c>
    </row>
    <row r="700" spans="2:21">
      <c r="B700">
        <v>28</v>
      </c>
      <c r="C700" t="s">
        <v>79</v>
      </c>
      <c r="G700">
        <v>2007</v>
      </c>
      <c r="H700">
        <v>12</v>
      </c>
      <c r="I700">
        <v>0</v>
      </c>
      <c r="J700" t="s">
        <v>30</v>
      </c>
      <c r="K700" s="45" t="s">
        <v>35</v>
      </c>
      <c r="L700">
        <f t="shared" si="235"/>
        <v>2017</v>
      </c>
      <c r="M700" s="15">
        <f t="shared" si="236"/>
        <v>2018</v>
      </c>
      <c r="N700" s="5">
        <v>9361.0400000000009</v>
      </c>
      <c r="O700" s="5">
        <f t="shared" si="237"/>
        <v>9361.0400000000009</v>
      </c>
      <c r="P700" s="5">
        <f t="shared" si="238"/>
        <v>78.00866666666667</v>
      </c>
      <c r="Q700" s="5">
        <f t="shared" si="239"/>
        <v>936.10400000000004</v>
      </c>
      <c r="R700" s="5">
        <f t="shared" si="240"/>
        <v>0</v>
      </c>
      <c r="S700" s="5">
        <f t="shared" si="241"/>
        <v>9361.0400000000009</v>
      </c>
      <c r="T700" s="5">
        <f t="shared" si="242"/>
        <v>9361.0400000000009</v>
      </c>
      <c r="U700" s="5">
        <f t="shared" si="243"/>
        <v>0</v>
      </c>
    </row>
    <row r="701" spans="2:21">
      <c r="B701">
        <v>24</v>
      </c>
      <c r="C701" t="s">
        <v>79</v>
      </c>
      <c r="G701">
        <v>2008</v>
      </c>
      <c r="H701">
        <v>1</v>
      </c>
      <c r="I701">
        <v>0</v>
      </c>
      <c r="J701" t="s">
        <v>30</v>
      </c>
      <c r="K701" s="45" t="s">
        <v>35</v>
      </c>
      <c r="L701">
        <f t="shared" si="235"/>
        <v>2018</v>
      </c>
      <c r="M701" s="15">
        <f t="shared" si="236"/>
        <v>2018.0833333333333</v>
      </c>
      <c r="N701" s="5">
        <v>8008.51</v>
      </c>
      <c r="O701" s="5">
        <f t="shared" si="237"/>
        <v>8008.51</v>
      </c>
      <c r="P701" s="5">
        <f t="shared" si="238"/>
        <v>66.737583333333333</v>
      </c>
      <c r="Q701" s="5">
        <f t="shared" si="239"/>
        <v>800.851</v>
      </c>
      <c r="R701" s="5">
        <f t="shared" si="240"/>
        <v>0</v>
      </c>
      <c r="S701" s="5">
        <f t="shared" si="241"/>
        <v>8008.51</v>
      </c>
      <c r="T701" s="5">
        <f t="shared" si="242"/>
        <v>8008.51</v>
      </c>
      <c r="U701" s="5">
        <f t="shared" si="243"/>
        <v>0</v>
      </c>
    </row>
    <row r="702" spans="2:21">
      <c r="B702">
        <v>0</v>
      </c>
      <c r="C702" t="s">
        <v>458</v>
      </c>
      <c r="G702">
        <v>2008</v>
      </c>
      <c r="H702">
        <v>1</v>
      </c>
      <c r="I702">
        <v>0</v>
      </c>
      <c r="J702" t="s">
        <v>30</v>
      </c>
      <c r="K702" s="45" t="s">
        <v>35</v>
      </c>
      <c r="L702">
        <f t="shared" si="235"/>
        <v>2018</v>
      </c>
      <c r="M702" s="15">
        <f t="shared" si="236"/>
        <v>2018.0833333333333</v>
      </c>
      <c r="N702" s="5">
        <v>10677.64</v>
      </c>
      <c r="O702" s="5">
        <f t="shared" si="237"/>
        <v>10677.64</v>
      </c>
      <c r="P702" s="5">
        <f t="shared" si="238"/>
        <v>88.98033333333332</v>
      </c>
      <c r="Q702" s="5">
        <f t="shared" si="239"/>
        <v>1067.7639999999999</v>
      </c>
      <c r="R702" s="5">
        <f t="shared" si="240"/>
        <v>0</v>
      </c>
      <c r="S702" s="5">
        <f t="shared" si="241"/>
        <v>10677.64</v>
      </c>
      <c r="T702" s="5">
        <f t="shared" si="242"/>
        <v>10677.64</v>
      </c>
      <c r="U702" s="5">
        <f t="shared" si="243"/>
        <v>0</v>
      </c>
    </row>
    <row r="703" spans="2:21">
      <c r="B703">
        <v>11</v>
      </c>
      <c r="C703" t="s">
        <v>79</v>
      </c>
      <c r="G703">
        <v>2008</v>
      </c>
      <c r="H703">
        <v>4</v>
      </c>
      <c r="I703">
        <v>0</v>
      </c>
      <c r="J703" t="s">
        <v>30</v>
      </c>
      <c r="K703" s="45" t="s">
        <v>35</v>
      </c>
      <c r="L703">
        <f t="shared" si="235"/>
        <v>2018</v>
      </c>
      <c r="M703" s="15">
        <f t="shared" si="236"/>
        <v>2018.3333333333333</v>
      </c>
      <c r="N703" s="5">
        <v>3607.9</v>
      </c>
      <c r="O703" s="5">
        <f t="shared" si="237"/>
        <v>3607.9</v>
      </c>
      <c r="P703" s="5">
        <f t="shared" si="238"/>
        <v>30.065833333333334</v>
      </c>
      <c r="Q703" s="5">
        <f t="shared" si="239"/>
        <v>360.79</v>
      </c>
      <c r="R703" s="5">
        <f t="shared" si="240"/>
        <v>0</v>
      </c>
      <c r="S703" s="5">
        <f t="shared" si="241"/>
        <v>3607.9</v>
      </c>
      <c r="T703" s="5">
        <f t="shared" si="242"/>
        <v>3607.9</v>
      </c>
      <c r="U703" s="5">
        <f t="shared" si="243"/>
        <v>0</v>
      </c>
    </row>
    <row r="704" spans="2:21">
      <c r="B704">
        <v>21</v>
      </c>
      <c r="C704" t="s">
        <v>279</v>
      </c>
      <c r="G704">
        <v>2008</v>
      </c>
      <c r="H704">
        <v>6</v>
      </c>
      <c r="I704">
        <v>0</v>
      </c>
      <c r="J704" t="s">
        <v>30</v>
      </c>
      <c r="K704" s="45" t="s">
        <v>35</v>
      </c>
      <c r="L704">
        <f t="shared" si="235"/>
        <v>2018</v>
      </c>
      <c r="M704" s="15">
        <f t="shared" si="236"/>
        <v>2018.5</v>
      </c>
      <c r="N704" s="5">
        <v>9265</v>
      </c>
      <c r="O704" s="5">
        <f t="shared" si="237"/>
        <v>9265</v>
      </c>
      <c r="P704" s="5">
        <f t="shared" si="238"/>
        <v>77.208333333333329</v>
      </c>
      <c r="Q704" s="5">
        <f t="shared" si="239"/>
        <v>926.5</v>
      </c>
      <c r="R704" s="5">
        <f t="shared" si="240"/>
        <v>0</v>
      </c>
      <c r="S704" s="5">
        <f t="shared" si="241"/>
        <v>9265</v>
      </c>
      <c r="T704" s="5">
        <f t="shared" si="242"/>
        <v>9265</v>
      </c>
      <c r="U704" s="5">
        <f t="shared" si="243"/>
        <v>0</v>
      </c>
    </row>
    <row r="705" spans="1:21">
      <c r="B705">
        <v>66</v>
      </c>
      <c r="C705" t="s">
        <v>81</v>
      </c>
      <c r="G705">
        <v>2008</v>
      </c>
      <c r="H705">
        <v>7</v>
      </c>
      <c r="I705">
        <v>0</v>
      </c>
      <c r="J705" t="s">
        <v>30</v>
      </c>
      <c r="K705" s="45" t="s">
        <v>35</v>
      </c>
      <c r="L705">
        <f t="shared" si="235"/>
        <v>2018</v>
      </c>
      <c r="M705" s="15">
        <f t="shared" si="236"/>
        <v>2018.5833333333333</v>
      </c>
      <c r="N705" s="5">
        <v>22601.4</v>
      </c>
      <c r="O705" s="5">
        <f t="shared" si="237"/>
        <v>22601.4</v>
      </c>
      <c r="P705" s="5">
        <f t="shared" si="238"/>
        <v>188.34500000000003</v>
      </c>
      <c r="Q705" s="5">
        <f t="shared" si="239"/>
        <v>2260.1400000000003</v>
      </c>
      <c r="R705" s="5">
        <f t="shared" si="240"/>
        <v>0</v>
      </c>
      <c r="S705" s="5">
        <f t="shared" si="241"/>
        <v>22601.4</v>
      </c>
      <c r="T705" s="5">
        <f t="shared" si="242"/>
        <v>22601.4</v>
      </c>
      <c r="U705" s="5">
        <f t="shared" si="243"/>
        <v>0</v>
      </c>
    </row>
    <row r="706" spans="1:21">
      <c r="B706">
        <v>92</v>
      </c>
      <c r="C706" t="s">
        <v>133</v>
      </c>
      <c r="G706">
        <v>2008</v>
      </c>
      <c r="H706">
        <v>7</v>
      </c>
      <c r="I706">
        <v>0</v>
      </c>
      <c r="J706" t="s">
        <v>30</v>
      </c>
      <c r="K706" s="45" t="s">
        <v>35</v>
      </c>
      <c r="L706">
        <f t="shared" si="235"/>
        <v>2018</v>
      </c>
      <c r="M706" s="15">
        <f t="shared" si="236"/>
        <v>2018.5833333333333</v>
      </c>
      <c r="N706" s="5">
        <v>41912.639999999999</v>
      </c>
      <c r="O706" s="5">
        <f t="shared" si="237"/>
        <v>41912.639999999999</v>
      </c>
      <c r="P706" s="5">
        <f t="shared" si="238"/>
        <v>349.27199999999999</v>
      </c>
      <c r="Q706" s="5">
        <f t="shared" si="239"/>
        <v>4191.2640000000001</v>
      </c>
      <c r="R706" s="5">
        <f t="shared" si="240"/>
        <v>0</v>
      </c>
      <c r="S706" s="5">
        <f t="shared" si="241"/>
        <v>41912.639999999999</v>
      </c>
      <c r="T706" s="5">
        <f t="shared" si="242"/>
        <v>41912.639999999999</v>
      </c>
      <c r="U706" s="5">
        <f t="shared" si="243"/>
        <v>0</v>
      </c>
    </row>
    <row r="707" spans="1:21">
      <c r="B707">
        <v>531</v>
      </c>
      <c r="C707" t="s">
        <v>500</v>
      </c>
      <c r="E707">
        <v>84458</v>
      </c>
      <c r="G707">
        <v>2011</v>
      </c>
      <c r="H707">
        <v>1</v>
      </c>
      <c r="I707">
        <v>0</v>
      </c>
      <c r="J707" t="s">
        <v>30</v>
      </c>
      <c r="K707" s="45">
        <v>10</v>
      </c>
      <c r="L707">
        <f>G707+K707</f>
        <v>2021</v>
      </c>
      <c r="M707" s="15">
        <f>+L707+(H707/12)</f>
        <v>2021.0833333333333</v>
      </c>
      <c r="N707" s="5">
        <v>0</v>
      </c>
      <c r="O707" s="5">
        <f>N707-N707*I707</f>
        <v>0</v>
      </c>
      <c r="P707" s="5">
        <f>O707/K707/12</f>
        <v>0</v>
      </c>
      <c r="Q707" s="5">
        <f>P707*12</f>
        <v>0</v>
      </c>
      <c r="R707" s="5">
        <f>+IF(M707&lt;=$O$5,0,IF(L707&gt;$O$4,Q707,(P707*H707)))</f>
        <v>0</v>
      </c>
      <c r="S707" s="5">
        <f>+IF(R707=0,N707,IF($O$3-G707&lt;1,0,(($O$3-G707)*Q707)))</f>
        <v>0</v>
      </c>
      <c r="T707" s="5">
        <f>+IF(R707=0,S707,S707+R707)</f>
        <v>0</v>
      </c>
      <c r="U707" s="5">
        <f>+N707-T707</f>
        <v>0</v>
      </c>
    </row>
    <row r="708" spans="1:21">
      <c r="B708">
        <v>26</v>
      </c>
      <c r="C708" t="s">
        <v>279</v>
      </c>
      <c r="E708" t="s">
        <v>689</v>
      </c>
      <c r="G708">
        <v>2013</v>
      </c>
      <c r="H708">
        <v>10</v>
      </c>
      <c r="I708">
        <v>0</v>
      </c>
      <c r="J708" t="s">
        <v>30</v>
      </c>
      <c r="K708" s="45">
        <v>10</v>
      </c>
      <c r="L708">
        <f t="shared" si="235"/>
        <v>2023</v>
      </c>
      <c r="M708" s="15">
        <f t="shared" si="236"/>
        <v>2023.8333333333333</v>
      </c>
      <c r="N708" s="5">
        <f>5352.96+12490.24</f>
        <v>17843.2</v>
      </c>
      <c r="O708" s="5">
        <f t="shared" si="237"/>
        <v>17843.2</v>
      </c>
      <c r="P708" s="5">
        <f t="shared" si="238"/>
        <v>148.69333333333336</v>
      </c>
      <c r="Q708" s="5">
        <f t="shared" si="239"/>
        <v>1784.3200000000002</v>
      </c>
      <c r="R708" s="5">
        <f t="shared" si="240"/>
        <v>1784.3200000000002</v>
      </c>
      <c r="S708" s="5">
        <f t="shared" si="241"/>
        <v>8921.6</v>
      </c>
      <c r="T708" s="5">
        <f t="shared" si="242"/>
        <v>10705.92</v>
      </c>
      <c r="U708" s="5">
        <f t="shared" si="243"/>
        <v>7137.2800000000007</v>
      </c>
    </row>
    <row r="709" spans="1:21">
      <c r="M709" s="15"/>
    </row>
    <row r="710" spans="1:21">
      <c r="L710" s="6" t="s">
        <v>459</v>
      </c>
      <c r="M710" s="36"/>
      <c r="N710" s="9">
        <f>SUM(N677:N709)</f>
        <v>449752.70000000007</v>
      </c>
      <c r="O710" s="9">
        <f t="shared" ref="O710:U710" si="244">SUM(O677:O709)</f>
        <v>449752.70000000007</v>
      </c>
      <c r="P710" s="9">
        <f t="shared" si="244"/>
        <v>3747.9391666666675</v>
      </c>
      <c r="Q710" s="9">
        <f t="shared" si="244"/>
        <v>44975.270000000011</v>
      </c>
      <c r="R710" s="9">
        <f t="shared" si="244"/>
        <v>1784.3200000000002</v>
      </c>
      <c r="S710" s="9">
        <f t="shared" si="244"/>
        <v>440831.10000000003</v>
      </c>
      <c r="T710" s="9">
        <f t="shared" si="244"/>
        <v>442615.42000000004</v>
      </c>
      <c r="U710" s="9">
        <f t="shared" si="244"/>
        <v>7137.2800000000007</v>
      </c>
    </row>
    <row r="711" spans="1:21">
      <c r="M711" s="15"/>
    </row>
    <row r="712" spans="1:21">
      <c r="A712" s="4" t="s">
        <v>461</v>
      </c>
      <c r="M712" s="15"/>
    </row>
    <row r="713" spans="1:21">
      <c r="B713">
        <v>2</v>
      </c>
      <c r="C713" t="s">
        <v>264</v>
      </c>
      <c r="G713">
        <v>1997</v>
      </c>
      <c r="H713">
        <v>10</v>
      </c>
      <c r="I713">
        <v>0</v>
      </c>
      <c r="J713" t="s">
        <v>30</v>
      </c>
      <c r="K713" s="45" t="s">
        <v>35</v>
      </c>
      <c r="L713">
        <f t="shared" ref="L713:L721" si="245">G713+K713</f>
        <v>2007</v>
      </c>
      <c r="M713" s="15">
        <f t="shared" ref="M713:M721" si="246">+L713+(H713/12)</f>
        <v>2007.8333333333333</v>
      </c>
      <c r="N713" s="5">
        <v>8850.9</v>
      </c>
      <c r="O713" s="5">
        <f t="shared" ref="O713:O721" si="247">N713-N713*I713</f>
        <v>8850.9</v>
      </c>
      <c r="P713" s="5">
        <f t="shared" ref="P713:P721" si="248">O713/K713/12</f>
        <v>73.757499999999993</v>
      </c>
      <c r="Q713" s="5">
        <f t="shared" ref="Q713:Q721" si="249">P713*12</f>
        <v>885.08999999999992</v>
      </c>
      <c r="R713" s="5">
        <f>+IF(M713&lt;=$O$5,0,IF(L713&gt;$O$4,Q713,(P713*H713)))</f>
        <v>0</v>
      </c>
      <c r="S713" s="5">
        <f>+IF(R713=0,N713,IF($O$3-G713&lt;1,0,(($O$3-G713)*Q713)))</f>
        <v>8850.9</v>
      </c>
      <c r="T713" s="5">
        <f>+IF(R713=0,S713,S713+R713)</f>
        <v>8850.9</v>
      </c>
      <c r="U713" s="5">
        <f>+N713-T713</f>
        <v>0</v>
      </c>
    </row>
    <row r="714" spans="1:21">
      <c r="B714">
        <v>1</v>
      </c>
      <c r="C714" t="s">
        <v>82</v>
      </c>
      <c r="G714">
        <v>2001</v>
      </c>
      <c r="H714">
        <v>11</v>
      </c>
      <c r="I714">
        <v>0</v>
      </c>
      <c r="J714" t="s">
        <v>30</v>
      </c>
      <c r="K714" s="45" t="s">
        <v>35</v>
      </c>
      <c r="L714">
        <f t="shared" si="245"/>
        <v>2011</v>
      </c>
      <c r="M714" s="15">
        <f t="shared" si="246"/>
        <v>2011.9166666666667</v>
      </c>
      <c r="N714" s="5">
        <v>2720</v>
      </c>
      <c r="O714" s="5">
        <f t="shared" si="247"/>
        <v>2720</v>
      </c>
      <c r="P714" s="5">
        <f t="shared" si="248"/>
        <v>22.666666666666668</v>
      </c>
      <c r="Q714" s="5">
        <f t="shared" si="249"/>
        <v>272</v>
      </c>
      <c r="R714" s="5">
        <f t="shared" ref="R714:R721" si="250">+IF(M714&lt;=$O$5,0,IF(L714&gt;$O$4,Q714,(P714*H714)))</f>
        <v>0</v>
      </c>
      <c r="S714" s="5">
        <f t="shared" ref="S714:S721" si="251">+IF(R714=0,N714,IF($O$3-G714&lt;1,0,(($O$3-G714)*Q714)))</f>
        <v>2720</v>
      </c>
      <c r="T714" s="5">
        <f t="shared" ref="T714:T721" si="252">+IF(R714=0,S714,S714+R714)</f>
        <v>2720</v>
      </c>
      <c r="U714" s="5">
        <f t="shared" ref="U714:U721" si="253">+N714-T714</f>
        <v>0</v>
      </c>
    </row>
    <row r="715" spans="1:21">
      <c r="B715">
        <v>2</v>
      </c>
      <c r="C715" t="s">
        <v>83</v>
      </c>
      <c r="G715">
        <v>2002</v>
      </c>
      <c r="H715">
        <v>3</v>
      </c>
      <c r="I715">
        <v>0</v>
      </c>
      <c r="J715" t="s">
        <v>30</v>
      </c>
      <c r="K715" s="45" t="s">
        <v>35</v>
      </c>
      <c r="L715">
        <f t="shared" si="245"/>
        <v>2012</v>
      </c>
      <c r="M715" s="15">
        <f t="shared" si="246"/>
        <v>2012.25</v>
      </c>
      <c r="N715" s="5">
        <v>7126.4</v>
      </c>
      <c r="O715" s="5">
        <f t="shared" si="247"/>
        <v>7126.4</v>
      </c>
      <c r="P715" s="5">
        <f t="shared" si="248"/>
        <v>59.386666666666663</v>
      </c>
      <c r="Q715" s="5">
        <f t="shared" si="249"/>
        <v>712.64</v>
      </c>
      <c r="R715" s="5">
        <f t="shared" si="250"/>
        <v>0</v>
      </c>
      <c r="S715" s="5">
        <f t="shared" si="251"/>
        <v>7126.4</v>
      </c>
      <c r="T715" s="5">
        <f t="shared" si="252"/>
        <v>7126.4</v>
      </c>
      <c r="U715" s="5">
        <f t="shared" si="253"/>
        <v>0</v>
      </c>
    </row>
    <row r="716" spans="1:21">
      <c r="B716">
        <v>6</v>
      </c>
      <c r="C716" t="s">
        <v>97</v>
      </c>
      <c r="G716">
        <v>2002</v>
      </c>
      <c r="H716">
        <v>10</v>
      </c>
      <c r="I716">
        <v>0</v>
      </c>
      <c r="J716" t="s">
        <v>30</v>
      </c>
      <c r="K716" s="45" t="s">
        <v>35</v>
      </c>
      <c r="L716">
        <f t="shared" si="245"/>
        <v>2012</v>
      </c>
      <c r="M716" s="15">
        <f t="shared" si="246"/>
        <v>2012.8333333333333</v>
      </c>
      <c r="N716" s="5">
        <v>27156.48</v>
      </c>
      <c r="O716" s="5">
        <f t="shared" si="247"/>
        <v>27156.48</v>
      </c>
      <c r="P716" s="5">
        <f t="shared" si="248"/>
        <v>226.304</v>
      </c>
      <c r="Q716" s="5">
        <f t="shared" si="249"/>
        <v>2715.6480000000001</v>
      </c>
      <c r="R716" s="5">
        <f t="shared" si="250"/>
        <v>0</v>
      </c>
      <c r="S716" s="5">
        <f t="shared" si="251"/>
        <v>27156.48</v>
      </c>
      <c r="T716" s="5">
        <f t="shared" si="252"/>
        <v>27156.48</v>
      </c>
      <c r="U716" s="5">
        <f t="shared" si="253"/>
        <v>0</v>
      </c>
    </row>
    <row r="717" spans="1:21">
      <c r="B717">
        <v>19</v>
      </c>
      <c r="C717" t="s">
        <v>259</v>
      </c>
      <c r="G717">
        <v>2005</v>
      </c>
      <c r="H717">
        <v>2</v>
      </c>
      <c r="I717">
        <v>0</v>
      </c>
      <c r="J717" t="s">
        <v>30</v>
      </c>
      <c r="K717" s="45" t="s">
        <v>35</v>
      </c>
      <c r="L717">
        <f t="shared" si="245"/>
        <v>2015</v>
      </c>
      <c r="M717" s="15">
        <f t="shared" si="246"/>
        <v>2015.1666666666667</v>
      </c>
      <c r="N717" s="5">
        <v>91378.94</v>
      </c>
      <c r="O717" s="5">
        <f t="shared" si="247"/>
        <v>91378.94</v>
      </c>
      <c r="P717" s="5">
        <f t="shared" si="248"/>
        <v>761.49116666666669</v>
      </c>
      <c r="Q717" s="5">
        <f t="shared" si="249"/>
        <v>9137.8940000000002</v>
      </c>
      <c r="R717" s="5">
        <f t="shared" si="250"/>
        <v>0</v>
      </c>
      <c r="S717" s="5">
        <f t="shared" si="251"/>
        <v>91378.94</v>
      </c>
      <c r="T717" s="5">
        <f t="shared" si="252"/>
        <v>91378.94</v>
      </c>
      <c r="U717" s="5">
        <f t="shared" si="253"/>
        <v>0</v>
      </c>
    </row>
    <row r="718" spans="1:21">
      <c r="C718" t="s">
        <v>175</v>
      </c>
      <c r="G718">
        <v>2007</v>
      </c>
      <c r="H718">
        <v>8</v>
      </c>
      <c r="I718">
        <v>0</v>
      </c>
      <c r="J718" t="s">
        <v>30</v>
      </c>
      <c r="K718" s="45" t="s">
        <v>35</v>
      </c>
      <c r="L718">
        <f t="shared" si="245"/>
        <v>2017</v>
      </c>
      <c r="M718" s="15">
        <f t="shared" si="246"/>
        <v>2017.6666666666667</v>
      </c>
      <c r="N718" s="5">
        <v>4407.4799999999996</v>
      </c>
      <c r="O718" s="5">
        <f t="shared" si="247"/>
        <v>4407.4799999999996</v>
      </c>
      <c r="P718" s="5">
        <f t="shared" si="248"/>
        <v>36.728999999999992</v>
      </c>
      <c r="Q718" s="5">
        <f t="shared" si="249"/>
        <v>440.74799999999993</v>
      </c>
      <c r="R718" s="5">
        <f t="shared" si="250"/>
        <v>0</v>
      </c>
      <c r="S718" s="5">
        <f t="shared" si="251"/>
        <v>4407.4799999999996</v>
      </c>
      <c r="T718" s="5">
        <f t="shared" si="252"/>
        <v>4407.4799999999996</v>
      </c>
      <c r="U718" s="5">
        <f t="shared" si="253"/>
        <v>0</v>
      </c>
    </row>
    <row r="719" spans="1:21">
      <c r="B719">
        <v>11</v>
      </c>
      <c r="C719" t="s">
        <v>92</v>
      </c>
      <c r="G719">
        <v>2008</v>
      </c>
      <c r="H719">
        <v>1</v>
      </c>
      <c r="I719">
        <v>0</v>
      </c>
      <c r="J719" t="s">
        <v>30</v>
      </c>
      <c r="K719" s="45" t="s">
        <v>35</v>
      </c>
      <c r="L719">
        <f t="shared" si="245"/>
        <v>2018</v>
      </c>
      <c r="M719" s="15">
        <f t="shared" si="246"/>
        <v>2018.0833333333333</v>
      </c>
      <c r="N719" s="5">
        <v>52794.720000000001</v>
      </c>
      <c r="O719" s="5">
        <f t="shared" si="247"/>
        <v>52794.720000000001</v>
      </c>
      <c r="P719" s="5">
        <f t="shared" si="248"/>
        <v>439.95599999999996</v>
      </c>
      <c r="Q719" s="5">
        <f t="shared" si="249"/>
        <v>5279.4719999999998</v>
      </c>
      <c r="R719" s="5">
        <f t="shared" si="250"/>
        <v>0</v>
      </c>
      <c r="S719" s="5">
        <f t="shared" si="251"/>
        <v>52794.720000000001</v>
      </c>
      <c r="T719" s="5">
        <f t="shared" si="252"/>
        <v>52794.720000000001</v>
      </c>
      <c r="U719" s="5">
        <f t="shared" si="253"/>
        <v>0</v>
      </c>
    </row>
    <row r="720" spans="1:21">
      <c r="B720">
        <v>12</v>
      </c>
      <c r="C720" t="s">
        <v>251</v>
      </c>
      <c r="G720">
        <v>2008</v>
      </c>
      <c r="H720">
        <v>2</v>
      </c>
      <c r="I720">
        <v>0</v>
      </c>
      <c r="J720" t="s">
        <v>30</v>
      </c>
      <c r="K720" s="45" t="s">
        <v>35</v>
      </c>
      <c r="L720">
        <f t="shared" si="245"/>
        <v>2018</v>
      </c>
      <c r="M720" s="15">
        <f t="shared" si="246"/>
        <v>2018.1666666666667</v>
      </c>
      <c r="N720" s="5">
        <v>50222.080000000002</v>
      </c>
      <c r="O720" s="5">
        <f t="shared" si="247"/>
        <v>50222.080000000002</v>
      </c>
      <c r="P720" s="5">
        <f t="shared" si="248"/>
        <v>418.5173333333334</v>
      </c>
      <c r="Q720" s="5">
        <f t="shared" si="249"/>
        <v>5022.2080000000005</v>
      </c>
      <c r="R720" s="5">
        <f t="shared" si="250"/>
        <v>0</v>
      </c>
      <c r="S720" s="5">
        <f t="shared" si="251"/>
        <v>50222.080000000002</v>
      </c>
      <c r="T720" s="5">
        <f t="shared" si="252"/>
        <v>50222.080000000002</v>
      </c>
      <c r="U720" s="5">
        <f t="shared" si="253"/>
        <v>0</v>
      </c>
    </row>
    <row r="721" spans="1:22">
      <c r="B721">
        <v>0</v>
      </c>
      <c r="C721" t="s">
        <v>177</v>
      </c>
      <c r="G721">
        <v>2008</v>
      </c>
      <c r="H721">
        <v>5</v>
      </c>
      <c r="I721">
        <v>0</v>
      </c>
      <c r="J721" t="s">
        <v>30</v>
      </c>
      <c r="K721" s="45" t="s">
        <v>35</v>
      </c>
      <c r="L721">
        <f t="shared" si="245"/>
        <v>2018</v>
      </c>
      <c r="M721" s="15">
        <f t="shared" si="246"/>
        <v>2018.4166666666667</v>
      </c>
      <c r="N721" s="5">
        <v>3166.08</v>
      </c>
      <c r="O721" s="5">
        <f t="shared" si="247"/>
        <v>3166.08</v>
      </c>
      <c r="P721" s="5">
        <f t="shared" si="248"/>
        <v>26.384</v>
      </c>
      <c r="Q721" s="5">
        <f t="shared" si="249"/>
        <v>316.608</v>
      </c>
      <c r="R721" s="5">
        <f t="shared" si="250"/>
        <v>0</v>
      </c>
      <c r="S721" s="5">
        <f t="shared" si="251"/>
        <v>3166.08</v>
      </c>
      <c r="T721" s="5">
        <f t="shared" si="252"/>
        <v>3166.08</v>
      </c>
      <c r="U721" s="5">
        <f t="shared" si="253"/>
        <v>0</v>
      </c>
    </row>
    <row r="722" spans="1:22">
      <c r="M722" s="15"/>
    </row>
    <row r="723" spans="1:22">
      <c r="K723" s="46"/>
      <c r="L723" s="6" t="s">
        <v>462</v>
      </c>
      <c r="M723" s="36"/>
      <c r="N723" s="9">
        <f>SUM(N713:N722)</f>
        <v>247823.08</v>
      </c>
      <c r="O723" s="9">
        <f t="shared" ref="O723:U723" si="254">SUM(O713:O722)</f>
        <v>247823.08</v>
      </c>
      <c r="P723" s="9">
        <f t="shared" si="254"/>
        <v>2065.1923333333334</v>
      </c>
      <c r="Q723" s="9">
        <f t="shared" si="254"/>
        <v>24782.307999999997</v>
      </c>
      <c r="R723" s="9">
        <f t="shared" si="254"/>
        <v>0</v>
      </c>
      <c r="S723" s="9">
        <f t="shared" si="254"/>
        <v>247823.08</v>
      </c>
      <c r="T723" s="9">
        <f t="shared" si="254"/>
        <v>247823.08</v>
      </c>
      <c r="U723" s="9">
        <f t="shared" si="254"/>
        <v>0</v>
      </c>
    </row>
    <row r="724" spans="1:22">
      <c r="M724" s="15"/>
    </row>
    <row r="725" spans="1:22">
      <c r="M725" s="15"/>
    </row>
    <row r="726" spans="1:22">
      <c r="L726" s="32" t="s">
        <v>457</v>
      </c>
      <c r="M726" s="6"/>
      <c r="N726" s="9">
        <f t="shared" ref="N726:U726" si="255">N674+N595+N524+N398+N184+N710+N723+N530+N235</f>
        <v>16610512.108666662</v>
      </c>
      <c r="O726" s="9">
        <f t="shared" si="255"/>
        <v>16610512.108666662</v>
      </c>
      <c r="P726" s="9">
        <f t="shared" si="255"/>
        <v>173074.39994939009</v>
      </c>
      <c r="Q726" s="9">
        <f t="shared" si="255"/>
        <v>2076892.7993926816</v>
      </c>
      <c r="R726" s="9">
        <f t="shared" si="255"/>
        <v>1003851.7603926809</v>
      </c>
      <c r="S726" s="9">
        <f t="shared" si="255"/>
        <v>10818987.59180952</v>
      </c>
      <c r="T726" s="9">
        <f t="shared" si="255"/>
        <v>11822839.352202205</v>
      </c>
      <c r="U726" s="9">
        <f t="shared" si="255"/>
        <v>4787672.7564644627</v>
      </c>
      <c r="V726" s="9"/>
    </row>
    <row r="727" spans="1:22">
      <c r="M727" s="15"/>
    </row>
    <row r="728" spans="1:22">
      <c r="M728" s="15"/>
    </row>
    <row r="729" spans="1:22">
      <c r="M729" s="15"/>
    </row>
    <row r="730" spans="1:22">
      <c r="M730" s="15"/>
    </row>
    <row r="731" spans="1:22">
      <c r="M731" s="15"/>
    </row>
    <row r="732" spans="1:22">
      <c r="M732" s="15"/>
    </row>
    <row r="733" spans="1:22">
      <c r="A733" s="49" t="s">
        <v>597</v>
      </c>
      <c r="M733" s="15"/>
    </row>
    <row r="734" spans="1:22">
      <c r="B734">
        <v>12</v>
      </c>
      <c r="C734" t="s">
        <v>241</v>
      </c>
      <c r="G734">
        <v>1998</v>
      </c>
      <c r="H734">
        <v>10</v>
      </c>
      <c r="I734">
        <v>0</v>
      </c>
      <c r="J734" t="s">
        <v>30</v>
      </c>
      <c r="K734" s="45" t="s">
        <v>35</v>
      </c>
      <c r="L734">
        <f>G734+K734</f>
        <v>2008</v>
      </c>
      <c r="M734" s="15">
        <v>2011</v>
      </c>
      <c r="N734" s="5">
        <v>41105.1</v>
      </c>
      <c r="O734" s="5">
        <f>N734-N734*I734</f>
        <v>41105.1</v>
      </c>
      <c r="P734" s="5">
        <f>O734/K734/12</f>
        <v>342.54250000000002</v>
      </c>
      <c r="Q734" s="5">
        <f>P734*12</f>
        <v>4110.51</v>
      </c>
      <c r="R734" s="5">
        <f>+IF(M734&lt;=$O$5,0,IF(L734&gt;$O$4,Q734,(P734*H734)))</f>
        <v>0</v>
      </c>
      <c r="S734" s="5">
        <f>+IF(R734=0,N734,IF($O$3-G734&lt;1,0,(($O$3-G734)*Q734)))</f>
        <v>41105.1</v>
      </c>
      <c r="T734" s="5">
        <f>+IF(R734=0,S734,S734+R734)</f>
        <v>41105.1</v>
      </c>
      <c r="U734" s="5">
        <f>+N734-T734</f>
        <v>0</v>
      </c>
    </row>
    <row r="735" spans="1:22">
      <c r="M735" s="15"/>
    </row>
    <row r="736" spans="1:22">
      <c r="A736" s="49" t="s">
        <v>952</v>
      </c>
      <c r="M736" s="15"/>
    </row>
    <row r="737" spans="2:21">
      <c r="B737">
        <v>5</v>
      </c>
      <c r="C737" t="s">
        <v>380</v>
      </c>
      <c r="E737">
        <v>75721</v>
      </c>
      <c r="G737">
        <v>2010</v>
      </c>
      <c r="H737">
        <v>6</v>
      </c>
      <c r="I737">
        <v>0</v>
      </c>
      <c r="J737" t="s">
        <v>30</v>
      </c>
      <c r="K737" s="45" t="s">
        <v>35</v>
      </c>
      <c r="L737">
        <f>G737+K737</f>
        <v>2020</v>
      </c>
      <c r="M737" s="15">
        <f>+L737+(H737/12)</f>
        <v>2020.5</v>
      </c>
      <c r="N737" s="5">
        <f>(8224.76/30)*5</f>
        <v>1370.7933333333333</v>
      </c>
      <c r="O737" s="5">
        <f>N737-N737*I737</f>
        <v>1370.7933333333333</v>
      </c>
      <c r="P737" s="5">
        <f>O737/K737/12</f>
        <v>11.423277777777777</v>
      </c>
      <c r="Q737" s="5">
        <f>P737*12</f>
        <v>137.07933333333332</v>
      </c>
      <c r="R737" s="5">
        <f>+IF(M737&lt;=$O$5,0,IF(L737&gt;$O$4,Q737,(P737*H737)))</f>
        <v>137.07933333333332</v>
      </c>
      <c r="S737" s="5">
        <f>+IF(R737=0,N737,IF($O$3-G737&lt;1,0,(($O$3-G737)*Q737)))</f>
        <v>1096.6346666666666</v>
      </c>
      <c r="T737" s="5">
        <f>+IF(R737=0,S737,S737+R737)</f>
        <v>1233.7139999999999</v>
      </c>
      <c r="U737" s="5">
        <f>+N737-T737</f>
        <v>137.07933333333335</v>
      </c>
    </row>
    <row r="738" spans="2:21">
      <c r="B738">
        <v>4</v>
      </c>
      <c r="C738" t="s">
        <v>383</v>
      </c>
      <c r="E738">
        <v>77554</v>
      </c>
      <c r="G738">
        <v>2010</v>
      </c>
      <c r="H738">
        <v>9</v>
      </c>
      <c r="I738">
        <v>0</v>
      </c>
      <c r="J738" t="s">
        <v>30</v>
      </c>
      <c r="K738" s="45" t="s">
        <v>35</v>
      </c>
      <c r="L738">
        <f>G738+K738</f>
        <v>2020</v>
      </c>
      <c r="M738" s="15">
        <f>+L738+(H738/12)</f>
        <v>2020.75</v>
      </c>
      <c r="N738" s="5">
        <f>(9050.04/24)*4</f>
        <v>1508.3400000000001</v>
      </c>
      <c r="O738" s="5">
        <f>N738-N738*I738</f>
        <v>1508.3400000000001</v>
      </c>
      <c r="P738" s="5">
        <f>O738/K738/12</f>
        <v>12.5695</v>
      </c>
      <c r="Q738" s="5">
        <f>P738*12</f>
        <v>150.834</v>
      </c>
      <c r="R738" s="5">
        <f>+IF(M738&lt;=$O$5,0,IF(L738&gt;$O$4,Q738,(P738*H738)))</f>
        <v>150.834</v>
      </c>
      <c r="S738" s="5">
        <f>+IF(R738=0,N738,IF($O$3-G738&lt;1,0,(($O$3-G738)*Q738)))</f>
        <v>1206.672</v>
      </c>
      <c r="T738" s="5">
        <f>+IF(R738=0,S738,S738+R738)</f>
        <v>1357.5060000000001</v>
      </c>
      <c r="U738" s="5">
        <f>+N738-T738</f>
        <v>150.83400000000006</v>
      </c>
    </row>
    <row r="739" spans="2:21">
      <c r="M739" s="15"/>
    </row>
    <row r="740" spans="2:21">
      <c r="M740" s="15"/>
    </row>
    <row r="784" spans="2:2">
      <c r="B784" s="3" t="s">
        <v>1160</v>
      </c>
    </row>
    <row r="786" spans="2:21">
      <c r="B786" t="s">
        <v>34</v>
      </c>
    </row>
    <row r="788" spans="2:21">
      <c r="B788" s="12">
        <v>7</v>
      </c>
      <c r="C788" t="s">
        <v>214</v>
      </c>
      <c r="G788">
        <v>1993</v>
      </c>
      <c r="H788">
        <v>7</v>
      </c>
      <c r="I788">
        <v>0</v>
      </c>
      <c r="J788" t="s">
        <v>30</v>
      </c>
      <c r="K788" s="45" t="s">
        <v>35</v>
      </c>
      <c r="L788">
        <f t="shared" ref="L788:L819" si="256">G788+K788</f>
        <v>2003</v>
      </c>
      <c r="M788" s="15">
        <f t="shared" ref="M788:M819" si="257">+L788+(H788/12)</f>
        <v>2003.5833333333333</v>
      </c>
      <c r="N788" s="5">
        <v>2111</v>
      </c>
      <c r="O788" s="5">
        <f t="shared" ref="O788:O819" si="258">N788-N788*I788</f>
        <v>2111</v>
      </c>
      <c r="P788" s="5">
        <f t="shared" ref="P788:P819" si="259">O788/K788/12</f>
        <v>17.591666666666665</v>
      </c>
      <c r="Q788" s="5">
        <f t="shared" ref="Q788:Q819" si="260">P788*12</f>
        <v>211.09999999999997</v>
      </c>
      <c r="R788" s="5">
        <f t="shared" ref="R788:R819" si="261">+IF(M788&lt;=$O$5,0,IF(L788&gt;$O$4,Q788,(P788*H788)))</f>
        <v>0</v>
      </c>
      <c r="S788" s="5">
        <f t="shared" ref="S788:S819" si="262">+IF(R788=0,N788,IF($O$3-G788&lt;1,0,(($O$3-G788)*Q788)))</f>
        <v>2111</v>
      </c>
      <c r="T788" s="5">
        <f t="shared" ref="T788:T819" si="263">+IF(R788=0,S788,S788+R788)</f>
        <v>2111</v>
      </c>
      <c r="U788" s="5">
        <f t="shared" ref="U788:U819" si="264">+N788-T788</f>
        <v>0</v>
      </c>
    </row>
    <row r="789" spans="2:21">
      <c r="B789" s="12">
        <v>10</v>
      </c>
      <c r="C789" t="s">
        <v>214</v>
      </c>
      <c r="G789">
        <v>1994</v>
      </c>
      <c r="H789">
        <v>4</v>
      </c>
      <c r="I789">
        <v>0</v>
      </c>
      <c r="J789" t="s">
        <v>30</v>
      </c>
      <c r="K789" s="45" t="s">
        <v>35</v>
      </c>
      <c r="L789">
        <f t="shared" si="256"/>
        <v>2004</v>
      </c>
      <c r="M789" s="15">
        <f t="shared" si="257"/>
        <v>2004.3333333333333</v>
      </c>
      <c r="N789" s="5">
        <v>2476</v>
      </c>
      <c r="O789" s="5">
        <f t="shared" si="258"/>
        <v>2476</v>
      </c>
      <c r="P789" s="5">
        <f t="shared" si="259"/>
        <v>20.633333333333333</v>
      </c>
      <c r="Q789" s="5">
        <f t="shared" si="260"/>
        <v>247.6</v>
      </c>
      <c r="R789" s="5">
        <f t="shared" si="261"/>
        <v>0</v>
      </c>
      <c r="S789" s="5">
        <f t="shared" si="262"/>
        <v>2476</v>
      </c>
      <c r="T789" s="5">
        <f t="shared" si="263"/>
        <v>2476</v>
      </c>
      <c r="U789" s="5">
        <f t="shared" si="264"/>
        <v>0</v>
      </c>
    </row>
    <row r="790" spans="2:21">
      <c r="B790" s="12">
        <v>23</v>
      </c>
      <c r="C790" t="s">
        <v>214</v>
      </c>
      <c r="G790">
        <v>1995</v>
      </c>
      <c r="H790">
        <v>3</v>
      </c>
      <c r="I790">
        <v>0</v>
      </c>
      <c r="J790" t="s">
        <v>30</v>
      </c>
      <c r="K790" s="45" t="s">
        <v>35</v>
      </c>
      <c r="L790">
        <f t="shared" si="256"/>
        <v>2005</v>
      </c>
      <c r="M790" s="15">
        <f t="shared" si="257"/>
        <v>2005.25</v>
      </c>
      <c r="N790" s="5">
        <v>7590</v>
      </c>
      <c r="O790" s="5">
        <f t="shared" si="258"/>
        <v>7590</v>
      </c>
      <c r="P790" s="5">
        <f t="shared" si="259"/>
        <v>63.25</v>
      </c>
      <c r="Q790" s="5">
        <f t="shared" si="260"/>
        <v>759</v>
      </c>
      <c r="R790" s="5">
        <f t="shared" si="261"/>
        <v>0</v>
      </c>
      <c r="S790" s="5">
        <f t="shared" si="262"/>
        <v>7590</v>
      </c>
      <c r="T790" s="5">
        <f t="shared" si="263"/>
        <v>7590</v>
      </c>
      <c r="U790" s="5">
        <f t="shared" si="264"/>
        <v>0</v>
      </c>
    </row>
    <row r="791" spans="2:21">
      <c r="B791" s="12">
        <v>9</v>
      </c>
      <c r="C791" t="s">
        <v>215</v>
      </c>
      <c r="G791">
        <v>1995</v>
      </c>
      <c r="H791">
        <v>6</v>
      </c>
      <c r="I791">
        <v>0</v>
      </c>
      <c r="J791" t="s">
        <v>30</v>
      </c>
      <c r="K791" s="45" t="s">
        <v>35</v>
      </c>
      <c r="L791">
        <f t="shared" si="256"/>
        <v>2005</v>
      </c>
      <c r="M791" s="15">
        <f t="shared" si="257"/>
        <v>2005.5</v>
      </c>
      <c r="N791" s="5">
        <v>2469.02</v>
      </c>
      <c r="O791" s="5">
        <f t="shared" si="258"/>
        <v>2469.02</v>
      </c>
      <c r="P791" s="5">
        <f t="shared" si="259"/>
        <v>20.575166666666664</v>
      </c>
      <c r="Q791" s="5">
        <f t="shared" si="260"/>
        <v>246.90199999999999</v>
      </c>
      <c r="R791" s="5">
        <f t="shared" si="261"/>
        <v>0</v>
      </c>
      <c r="S791" s="5">
        <f t="shared" si="262"/>
        <v>2469.02</v>
      </c>
      <c r="T791" s="5">
        <f t="shared" si="263"/>
        <v>2469.02</v>
      </c>
      <c r="U791" s="5">
        <f t="shared" si="264"/>
        <v>0</v>
      </c>
    </row>
    <row r="792" spans="2:21">
      <c r="B792" s="12">
        <v>50</v>
      </c>
      <c r="C792" t="s">
        <v>216</v>
      </c>
      <c r="G792">
        <v>2005</v>
      </c>
      <c r="H792">
        <v>7</v>
      </c>
      <c r="I792">
        <v>0</v>
      </c>
      <c r="J792" t="s">
        <v>30</v>
      </c>
      <c r="K792" s="45" t="s">
        <v>35</v>
      </c>
      <c r="L792">
        <f t="shared" si="256"/>
        <v>2015</v>
      </c>
      <c r="M792" s="15">
        <f t="shared" si="257"/>
        <v>2015.5833333333333</v>
      </c>
      <c r="N792" s="5">
        <v>17125.12</v>
      </c>
      <c r="O792" s="5">
        <f t="shared" si="258"/>
        <v>17125.12</v>
      </c>
      <c r="P792" s="5">
        <f t="shared" si="259"/>
        <v>142.70933333333332</v>
      </c>
      <c r="Q792" s="5">
        <f t="shared" si="260"/>
        <v>1712.5119999999997</v>
      </c>
      <c r="R792" s="5">
        <f t="shared" si="261"/>
        <v>0</v>
      </c>
      <c r="S792" s="5">
        <f t="shared" si="262"/>
        <v>17125.12</v>
      </c>
      <c r="T792" s="5">
        <f t="shared" si="263"/>
        <v>17125.12</v>
      </c>
      <c r="U792" s="5">
        <f t="shared" si="264"/>
        <v>0</v>
      </c>
    </row>
    <row r="793" spans="2:21">
      <c r="B793" s="12">
        <v>52</v>
      </c>
      <c r="C793" t="s">
        <v>217</v>
      </c>
      <c r="G793">
        <v>1996</v>
      </c>
      <c r="H793">
        <v>6</v>
      </c>
      <c r="I793">
        <v>0</v>
      </c>
      <c r="J793" t="s">
        <v>30</v>
      </c>
      <c r="K793" s="45" t="s">
        <v>35</v>
      </c>
      <c r="L793">
        <f t="shared" si="256"/>
        <v>2006</v>
      </c>
      <c r="M793" s="15">
        <f t="shared" si="257"/>
        <v>2006.5</v>
      </c>
      <c r="N793" s="5">
        <v>17723</v>
      </c>
      <c r="O793" s="5">
        <f t="shared" si="258"/>
        <v>17723</v>
      </c>
      <c r="P793" s="5">
        <f t="shared" si="259"/>
        <v>147.69166666666666</v>
      </c>
      <c r="Q793" s="5">
        <f t="shared" si="260"/>
        <v>1772.3</v>
      </c>
      <c r="R793" s="5">
        <f t="shared" si="261"/>
        <v>0</v>
      </c>
      <c r="S793" s="5">
        <f t="shared" si="262"/>
        <v>17723</v>
      </c>
      <c r="T793" s="5">
        <f t="shared" si="263"/>
        <v>17723</v>
      </c>
      <c r="U793" s="5">
        <f t="shared" si="264"/>
        <v>0</v>
      </c>
    </row>
    <row r="794" spans="2:21">
      <c r="B794" s="12">
        <v>12</v>
      </c>
      <c r="C794" t="s">
        <v>218</v>
      </c>
      <c r="G794">
        <v>1998</v>
      </c>
      <c r="H794">
        <v>10</v>
      </c>
      <c r="I794">
        <v>0</v>
      </c>
      <c r="J794" t="s">
        <v>30</v>
      </c>
      <c r="K794" s="45" t="s">
        <v>35</v>
      </c>
      <c r="L794">
        <f t="shared" si="256"/>
        <v>2008</v>
      </c>
      <c r="M794" s="15">
        <f t="shared" si="257"/>
        <v>2008.8333333333333</v>
      </c>
      <c r="N794" s="5">
        <v>3746.7</v>
      </c>
      <c r="O794" s="5">
        <f t="shared" si="258"/>
        <v>3746.7</v>
      </c>
      <c r="P794" s="5">
        <f t="shared" si="259"/>
        <v>31.222499999999997</v>
      </c>
      <c r="Q794" s="5">
        <f t="shared" si="260"/>
        <v>374.66999999999996</v>
      </c>
      <c r="R794" s="5">
        <f t="shared" si="261"/>
        <v>0</v>
      </c>
      <c r="S794" s="5">
        <f t="shared" si="262"/>
        <v>3746.7</v>
      </c>
      <c r="T794" s="5">
        <f t="shared" si="263"/>
        <v>3746.7</v>
      </c>
      <c r="U794" s="5">
        <f t="shared" si="264"/>
        <v>0</v>
      </c>
    </row>
    <row r="795" spans="2:21">
      <c r="B795" s="12">
        <v>1</v>
      </c>
      <c r="C795" t="s">
        <v>219</v>
      </c>
      <c r="G795">
        <v>1993</v>
      </c>
      <c r="H795">
        <v>7</v>
      </c>
      <c r="I795">
        <v>0</v>
      </c>
      <c r="J795" t="s">
        <v>30</v>
      </c>
      <c r="K795" s="45" t="s">
        <v>35</v>
      </c>
      <c r="L795">
        <f t="shared" si="256"/>
        <v>2003</v>
      </c>
      <c r="M795" s="15">
        <f t="shared" si="257"/>
        <v>2003.5833333333333</v>
      </c>
      <c r="N795" s="5">
        <v>243</v>
      </c>
      <c r="O795" s="5">
        <f t="shared" si="258"/>
        <v>243</v>
      </c>
      <c r="P795" s="5">
        <f t="shared" si="259"/>
        <v>2.0249999999999999</v>
      </c>
      <c r="Q795" s="5">
        <f t="shared" si="260"/>
        <v>24.299999999999997</v>
      </c>
      <c r="R795" s="5">
        <f t="shared" si="261"/>
        <v>0</v>
      </c>
      <c r="S795" s="5">
        <f t="shared" si="262"/>
        <v>243</v>
      </c>
      <c r="T795" s="5">
        <f t="shared" si="263"/>
        <v>243</v>
      </c>
      <c r="U795" s="5">
        <f t="shared" si="264"/>
        <v>0</v>
      </c>
    </row>
    <row r="796" spans="2:21">
      <c r="B796" s="12">
        <v>3</v>
      </c>
      <c r="C796" t="s">
        <v>219</v>
      </c>
      <c r="G796">
        <v>1998</v>
      </c>
      <c r="H796">
        <v>9</v>
      </c>
      <c r="I796">
        <v>0</v>
      </c>
      <c r="J796" t="s">
        <v>30</v>
      </c>
      <c r="K796" s="45" t="s">
        <v>35</v>
      </c>
      <c r="L796">
        <f t="shared" si="256"/>
        <v>2008</v>
      </c>
      <c r="M796" s="15">
        <f t="shared" si="257"/>
        <v>2008.75</v>
      </c>
      <c r="N796" s="5">
        <v>1031.7</v>
      </c>
      <c r="O796" s="5">
        <f t="shared" si="258"/>
        <v>1031.7</v>
      </c>
      <c r="P796" s="5">
        <f t="shared" si="259"/>
        <v>8.5975000000000001</v>
      </c>
      <c r="Q796" s="5">
        <f t="shared" si="260"/>
        <v>103.17</v>
      </c>
      <c r="R796" s="5">
        <f t="shared" si="261"/>
        <v>0</v>
      </c>
      <c r="S796" s="5">
        <f t="shared" si="262"/>
        <v>1031.7</v>
      </c>
      <c r="T796" s="5">
        <f t="shared" si="263"/>
        <v>1031.7</v>
      </c>
      <c r="U796" s="5">
        <f t="shared" si="264"/>
        <v>0</v>
      </c>
    </row>
    <row r="797" spans="2:21">
      <c r="B797" s="12">
        <v>8</v>
      </c>
      <c r="C797" t="s">
        <v>219</v>
      </c>
      <c r="G797">
        <v>1998</v>
      </c>
      <c r="H797">
        <v>3</v>
      </c>
      <c r="I797">
        <v>0</v>
      </c>
      <c r="J797" t="s">
        <v>30</v>
      </c>
      <c r="K797" s="45" t="s">
        <v>35</v>
      </c>
      <c r="L797">
        <f t="shared" si="256"/>
        <v>2008</v>
      </c>
      <c r="M797" s="15">
        <f t="shared" si="257"/>
        <v>2008.25</v>
      </c>
      <c r="N797" s="5">
        <v>2082.41</v>
      </c>
      <c r="O797" s="5">
        <f t="shared" si="258"/>
        <v>2082.41</v>
      </c>
      <c r="P797" s="5">
        <f t="shared" si="259"/>
        <v>17.353416666666664</v>
      </c>
      <c r="Q797" s="5">
        <f t="shared" si="260"/>
        <v>208.24099999999999</v>
      </c>
      <c r="R797" s="5">
        <f t="shared" si="261"/>
        <v>0</v>
      </c>
      <c r="S797" s="5">
        <f t="shared" si="262"/>
        <v>2082.41</v>
      </c>
      <c r="T797" s="5">
        <f t="shared" si="263"/>
        <v>2082.41</v>
      </c>
      <c r="U797" s="5">
        <f t="shared" si="264"/>
        <v>0</v>
      </c>
    </row>
    <row r="798" spans="2:21">
      <c r="B798" s="12">
        <v>8</v>
      </c>
      <c r="C798" t="s">
        <v>219</v>
      </c>
      <c r="G798">
        <v>1994</v>
      </c>
      <c r="H798">
        <v>2</v>
      </c>
      <c r="I798">
        <v>0</v>
      </c>
      <c r="J798" t="s">
        <v>30</v>
      </c>
      <c r="K798" s="45" t="s">
        <v>35</v>
      </c>
      <c r="L798">
        <f t="shared" si="256"/>
        <v>2004</v>
      </c>
      <c r="M798" s="15">
        <f t="shared" si="257"/>
        <v>2004.1666666666667</v>
      </c>
      <c r="N798" s="5">
        <v>2107</v>
      </c>
      <c r="O798" s="5">
        <f t="shared" si="258"/>
        <v>2107</v>
      </c>
      <c r="P798" s="5">
        <f t="shared" si="259"/>
        <v>17.558333333333334</v>
      </c>
      <c r="Q798" s="5">
        <f t="shared" si="260"/>
        <v>210.7</v>
      </c>
      <c r="R798" s="5">
        <f t="shared" si="261"/>
        <v>0</v>
      </c>
      <c r="S798" s="5">
        <f t="shared" si="262"/>
        <v>2107</v>
      </c>
      <c r="T798" s="5">
        <f t="shared" si="263"/>
        <v>2107</v>
      </c>
      <c r="U798" s="5">
        <f t="shared" si="264"/>
        <v>0</v>
      </c>
    </row>
    <row r="799" spans="2:21">
      <c r="B799" s="12">
        <v>15</v>
      </c>
      <c r="C799" t="s">
        <v>219</v>
      </c>
      <c r="G799">
        <v>1993</v>
      </c>
      <c r="H799">
        <v>7</v>
      </c>
      <c r="I799">
        <v>0</v>
      </c>
      <c r="J799" t="s">
        <v>30</v>
      </c>
      <c r="K799" s="45" t="s">
        <v>35</v>
      </c>
      <c r="L799">
        <f t="shared" si="256"/>
        <v>2003</v>
      </c>
      <c r="M799" s="15">
        <f t="shared" si="257"/>
        <v>2003.5833333333333</v>
      </c>
      <c r="N799" s="5">
        <v>4360</v>
      </c>
      <c r="O799" s="5">
        <f t="shared" si="258"/>
        <v>4360</v>
      </c>
      <c r="P799" s="5">
        <f t="shared" si="259"/>
        <v>36.333333333333336</v>
      </c>
      <c r="Q799" s="5">
        <f t="shared" si="260"/>
        <v>436</v>
      </c>
      <c r="R799" s="5">
        <f t="shared" si="261"/>
        <v>0</v>
      </c>
      <c r="S799" s="5">
        <f t="shared" si="262"/>
        <v>4360</v>
      </c>
      <c r="T799" s="5">
        <f t="shared" si="263"/>
        <v>4360</v>
      </c>
      <c r="U799" s="5">
        <f t="shared" si="264"/>
        <v>0</v>
      </c>
    </row>
    <row r="800" spans="2:21">
      <c r="B800" s="12">
        <v>14</v>
      </c>
      <c r="C800" t="s">
        <v>219</v>
      </c>
      <c r="G800">
        <v>1998</v>
      </c>
      <c r="H800">
        <v>8</v>
      </c>
      <c r="I800">
        <v>0</v>
      </c>
      <c r="J800" t="s">
        <v>30</v>
      </c>
      <c r="K800" s="45" t="s">
        <v>35</v>
      </c>
      <c r="L800">
        <f t="shared" si="256"/>
        <v>2008</v>
      </c>
      <c r="M800" s="15">
        <f t="shared" si="257"/>
        <v>2008.6666666666667</v>
      </c>
      <c r="N800" s="5">
        <v>4682.83</v>
      </c>
      <c r="O800" s="5">
        <f t="shared" si="258"/>
        <v>4682.83</v>
      </c>
      <c r="P800" s="5">
        <f t="shared" si="259"/>
        <v>39.023583333333335</v>
      </c>
      <c r="Q800" s="5">
        <f t="shared" si="260"/>
        <v>468.28300000000002</v>
      </c>
      <c r="R800" s="5">
        <f t="shared" si="261"/>
        <v>0</v>
      </c>
      <c r="S800" s="5">
        <f t="shared" si="262"/>
        <v>4682.83</v>
      </c>
      <c r="T800" s="5">
        <f t="shared" si="263"/>
        <v>4682.83</v>
      </c>
      <c r="U800" s="5">
        <f t="shared" si="264"/>
        <v>0</v>
      </c>
    </row>
    <row r="801" spans="2:21">
      <c r="B801" s="12">
        <v>20</v>
      </c>
      <c r="C801" t="s">
        <v>219</v>
      </c>
      <c r="G801">
        <v>1994</v>
      </c>
      <c r="H801">
        <v>1</v>
      </c>
      <c r="I801">
        <v>0</v>
      </c>
      <c r="J801" t="s">
        <v>30</v>
      </c>
      <c r="K801" s="45" t="s">
        <v>35</v>
      </c>
      <c r="L801">
        <f t="shared" si="256"/>
        <v>2004</v>
      </c>
      <c r="M801" s="15">
        <f t="shared" si="257"/>
        <v>2004.0833333333333</v>
      </c>
      <c r="N801" s="5">
        <v>5735</v>
      </c>
      <c r="O801" s="5">
        <f t="shared" si="258"/>
        <v>5735</v>
      </c>
      <c r="P801" s="5">
        <f t="shared" si="259"/>
        <v>47.791666666666664</v>
      </c>
      <c r="Q801" s="5">
        <f t="shared" si="260"/>
        <v>573.5</v>
      </c>
      <c r="R801" s="5">
        <f t="shared" si="261"/>
        <v>0</v>
      </c>
      <c r="S801" s="5">
        <f t="shared" si="262"/>
        <v>5735</v>
      </c>
      <c r="T801" s="5">
        <f t="shared" si="263"/>
        <v>5735</v>
      </c>
      <c r="U801" s="5">
        <f t="shared" si="264"/>
        <v>0</v>
      </c>
    </row>
    <row r="802" spans="2:21">
      <c r="B802" s="12">
        <v>30</v>
      </c>
      <c r="C802" t="s">
        <v>219</v>
      </c>
      <c r="G802">
        <v>1998</v>
      </c>
      <c r="H802">
        <v>8</v>
      </c>
      <c r="I802">
        <v>0</v>
      </c>
      <c r="J802" t="s">
        <v>30</v>
      </c>
      <c r="K802" s="45" t="s">
        <v>35</v>
      </c>
      <c r="L802">
        <f t="shared" si="256"/>
        <v>2008</v>
      </c>
      <c r="M802" s="15">
        <f t="shared" si="257"/>
        <v>2008.6666666666667</v>
      </c>
      <c r="N802" s="5">
        <v>9122.4</v>
      </c>
      <c r="O802" s="5">
        <f t="shared" si="258"/>
        <v>9122.4</v>
      </c>
      <c r="P802" s="5">
        <f t="shared" si="259"/>
        <v>76.02</v>
      </c>
      <c r="Q802" s="5">
        <f t="shared" si="260"/>
        <v>912.24</v>
      </c>
      <c r="R802" s="5">
        <f t="shared" si="261"/>
        <v>0</v>
      </c>
      <c r="S802" s="5">
        <f t="shared" si="262"/>
        <v>9122.4</v>
      </c>
      <c r="T802" s="5">
        <f t="shared" si="263"/>
        <v>9122.4</v>
      </c>
      <c r="U802" s="5">
        <f t="shared" si="264"/>
        <v>0</v>
      </c>
    </row>
    <row r="803" spans="2:21">
      <c r="B803" s="12">
        <v>11</v>
      </c>
      <c r="C803" t="s">
        <v>220</v>
      </c>
      <c r="G803">
        <v>1998</v>
      </c>
      <c r="H803">
        <v>1</v>
      </c>
      <c r="I803">
        <v>0</v>
      </c>
      <c r="J803" t="s">
        <v>30</v>
      </c>
      <c r="K803" s="45" t="s">
        <v>35</v>
      </c>
      <c r="L803">
        <f t="shared" si="256"/>
        <v>2008</v>
      </c>
      <c r="M803" s="15">
        <f t="shared" si="257"/>
        <v>2008.0833333333333</v>
      </c>
      <c r="N803" s="5">
        <v>3488.23</v>
      </c>
      <c r="O803" s="5">
        <f t="shared" si="258"/>
        <v>3488.23</v>
      </c>
      <c r="P803" s="5">
        <f t="shared" si="259"/>
        <v>29.068583333333333</v>
      </c>
      <c r="Q803" s="5">
        <f t="shared" si="260"/>
        <v>348.82299999999998</v>
      </c>
      <c r="R803" s="5">
        <f t="shared" si="261"/>
        <v>0</v>
      </c>
      <c r="S803" s="5">
        <f t="shared" si="262"/>
        <v>3488.23</v>
      </c>
      <c r="T803" s="5">
        <f t="shared" si="263"/>
        <v>3488.23</v>
      </c>
      <c r="U803" s="5">
        <f t="shared" si="264"/>
        <v>0</v>
      </c>
    </row>
    <row r="804" spans="2:21">
      <c r="B804" s="12">
        <v>10</v>
      </c>
      <c r="C804" t="s">
        <v>221</v>
      </c>
      <c r="G804">
        <v>1997</v>
      </c>
      <c r="H804">
        <v>8</v>
      </c>
      <c r="I804">
        <v>0</v>
      </c>
      <c r="J804" t="s">
        <v>30</v>
      </c>
      <c r="K804" s="45" t="s">
        <v>35</v>
      </c>
      <c r="L804">
        <f t="shared" si="256"/>
        <v>2007</v>
      </c>
      <c r="M804" s="15">
        <f t="shared" si="257"/>
        <v>2007.6666666666667</v>
      </c>
      <c r="N804" s="5">
        <v>3040.8</v>
      </c>
      <c r="O804" s="5">
        <f t="shared" si="258"/>
        <v>3040.8</v>
      </c>
      <c r="P804" s="5">
        <f t="shared" si="259"/>
        <v>25.340000000000003</v>
      </c>
      <c r="Q804" s="5">
        <f t="shared" si="260"/>
        <v>304.08000000000004</v>
      </c>
      <c r="R804" s="5">
        <f t="shared" si="261"/>
        <v>0</v>
      </c>
      <c r="S804" s="5">
        <f t="shared" si="262"/>
        <v>3040.8</v>
      </c>
      <c r="T804" s="5">
        <f t="shared" si="263"/>
        <v>3040.8</v>
      </c>
      <c r="U804" s="5">
        <f t="shared" si="264"/>
        <v>0</v>
      </c>
    </row>
    <row r="805" spans="2:21">
      <c r="B805" s="12">
        <v>15</v>
      </c>
      <c r="C805" t="s">
        <v>222</v>
      </c>
      <c r="G805">
        <v>1996</v>
      </c>
      <c r="H805">
        <v>10</v>
      </c>
      <c r="I805">
        <v>0</v>
      </c>
      <c r="J805" t="s">
        <v>30</v>
      </c>
      <c r="K805" s="45" t="s">
        <v>35</v>
      </c>
      <c r="L805">
        <f t="shared" si="256"/>
        <v>2006</v>
      </c>
      <c r="M805" s="15">
        <f t="shared" si="257"/>
        <v>2006.8333333333333</v>
      </c>
      <c r="N805" s="5">
        <v>3976</v>
      </c>
      <c r="O805" s="5">
        <f t="shared" si="258"/>
        <v>3976</v>
      </c>
      <c r="P805" s="5">
        <f t="shared" si="259"/>
        <v>33.133333333333333</v>
      </c>
      <c r="Q805" s="5">
        <f t="shared" si="260"/>
        <v>397.6</v>
      </c>
      <c r="R805" s="5">
        <f t="shared" si="261"/>
        <v>0</v>
      </c>
      <c r="S805" s="5">
        <f t="shared" si="262"/>
        <v>3976</v>
      </c>
      <c r="T805" s="5">
        <f t="shared" si="263"/>
        <v>3976</v>
      </c>
      <c r="U805" s="5">
        <f t="shared" si="264"/>
        <v>0</v>
      </c>
    </row>
    <row r="806" spans="2:21">
      <c r="B806" s="12">
        <v>25</v>
      </c>
      <c r="C806" t="s">
        <v>222</v>
      </c>
      <c r="G806">
        <v>1996</v>
      </c>
      <c r="H806">
        <v>10</v>
      </c>
      <c r="I806">
        <v>0</v>
      </c>
      <c r="J806" t="s">
        <v>30</v>
      </c>
      <c r="K806" s="45" t="s">
        <v>35</v>
      </c>
      <c r="L806">
        <f t="shared" si="256"/>
        <v>2006</v>
      </c>
      <c r="M806" s="15">
        <f t="shared" si="257"/>
        <v>2006.8333333333333</v>
      </c>
      <c r="N806" s="5">
        <v>7168</v>
      </c>
      <c r="O806" s="5">
        <f t="shared" si="258"/>
        <v>7168</v>
      </c>
      <c r="P806" s="5">
        <f t="shared" si="259"/>
        <v>59.733333333333327</v>
      </c>
      <c r="Q806" s="5">
        <f t="shared" si="260"/>
        <v>716.8</v>
      </c>
      <c r="R806" s="5">
        <f t="shared" si="261"/>
        <v>0</v>
      </c>
      <c r="S806" s="5">
        <f t="shared" si="262"/>
        <v>7168</v>
      </c>
      <c r="T806" s="5">
        <f t="shared" si="263"/>
        <v>7168</v>
      </c>
      <c r="U806" s="5">
        <f t="shared" si="264"/>
        <v>0</v>
      </c>
    </row>
    <row r="807" spans="2:21">
      <c r="B807" s="12">
        <v>10</v>
      </c>
      <c r="C807" t="s">
        <v>560</v>
      </c>
      <c r="G807">
        <v>1993</v>
      </c>
      <c r="H807">
        <v>4</v>
      </c>
      <c r="I807">
        <v>0</v>
      </c>
      <c r="J807" t="s">
        <v>30</v>
      </c>
      <c r="K807" s="45" t="s">
        <v>35</v>
      </c>
      <c r="L807">
        <f t="shared" si="256"/>
        <v>2003</v>
      </c>
      <c r="M807" s="15">
        <f t="shared" si="257"/>
        <v>2003.3333333333333</v>
      </c>
      <c r="N807" s="5">
        <v>3300</v>
      </c>
      <c r="O807" s="5">
        <f t="shared" si="258"/>
        <v>3300</v>
      </c>
      <c r="P807" s="5">
        <f t="shared" si="259"/>
        <v>27.5</v>
      </c>
      <c r="Q807" s="5">
        <f t="shared" si="260"/>
        <v>330</v>
      </c>
      <c r="R807" s="5">
        <f t="shared" si="261"/>
        <v>0</v>
      </c>
      <c r="S807" s="5">
        <f t="shared" si="262"/>
        <v>3300</v>
      </c>
      <c r="T807" s="5">
        <f t="shared" si="263"/>
        <v>3300</v>
      </c>
      <c r="U807" s="5">
        <f t="shared" si="264"/>
        <v>0</v>
      </c>
    </row>
    <row r="808" spans="2:21">
      <c r="B808" s="12">
        <v>4</v>
      </c>
      <c r="C808" t="s">
        <v>63</v>
      </c>
      <c r="G808">
        <v>1994</v>
      </c>
      <c r="H808">
        <v>2</v>
      </c>
      <c r="I808">
        <v>0</v>
      </c>
      <c r="J808" t="s">
        <v>30</v>
      </c>
      <c r="K808" s="45" t="s">
        <v>35</v>
      </c>
      <c r="L808">
        <f t="shared" si="256"/>
        <v>2004</v>
      </c>
      <c r="M808" s="15">
        <f t="shared" si="257"/>
        <v>2004.1666666666667</v>
      </c>
      <c r="N808" s="5">
        <v>1301</v>
      </c>
      <c r="O808" s="5">
        <f t="shared" si="258"/>
        <v>1301</v>
      </c>
      <c r="P808" s="5">
        <f t="shared" si="259"/>
        <v>10.841666666666667</v>
      </c>
      <c r="Q808" s="5">
        <f t="shared" si="260"/>
        <v>130.1</v>
      </c>
      <c r="R808" s="5">
        <f t="shared" si="261"/>
        <v>0</v>
      </c>
      <c r="S808" s="5">
        <f t="shared" si="262"/>
        <v>1301</v>
      </c>
      <c r="T808" s="5">
        <f t="shared" si="263"/>
        <v>1301</v>
      </c>
      <c r="U808" s="5">
        <f t="shared" si="264"/>
        <v>0</v>
      </c>
    </row>
    <row r="809" spans="2:21">
      <c r="B809" s="12">
        <v>6</v>
      </c>
      <c r="C809" t="s">
        <v>63</v>
      </c>
      <c r="G809">
        <v>1994</v>
      </c>
      <c r="H809">
        <v>7</v>
      </c>
      <c r="I809">
        <v>0</v>
      </c>
      <c r="J809" t="s">
        <v>30</v>
      </c>
      <c r="K809" s="45" t="s">
        <v>35</v>
      </c>
      <c r="L809">
        <f t="shared" si="256"/>
        <v>2004</v>
      </c>
      <c r="M809" s="15">
        <f t="shared" si="257"/>
        <v>2004.5833333333333</v>
      </c>
      <c r="N809" s="5">
        <v>1486</v>
      </c>
      <c r="O809" s="5">
        <f t="shared" si="258"/>
        <v>1486</v>
      </c>
      <c r="P809" s="5">
        <f t="shared" si="259"/>
        <v>12.383333333333333</v>
      </c>
      <c r="Q809" s="5">
        <f t="shared" si="260"/>
        <v>148.6</v>
      </c>
      <c r="R809" s="5">
        <f t="shared" si="261"/>
        <v>0</v>
      </c>
      <c r="S809" s="5">
        <f t="shared" si="262"/>
        <v>1486</v>
      </c>
      <c r="T809" s="5">
        <f t="shared" si="263"/>
        <v>1486</v>
      </c>
      <c r="U809" s="5">
        <f t="shared" si="264"/>
        <v>0</v>
      </c>
    </row>
    <row r="810" spans="2:21">
      <c r="B810" s="12">
        <v>8</v>
      </c>
      <c r="C810" t="s">
        <v>63</v>
      </c>
      <c r="G810">
        <v>1994</v>
      </c>
      <c r="H810">
        <v>7</v>
      </c>
      <c r="I810">
        <v>0</v>
      </c>
      <c r="J810" t="s">
        <v>30</v>
      </c>
      <c r="K810" s="45" t="s">
        <v>35</v>
      </c>
      <c r="L810">
        <f t="shared" si="256"/>
        <v>2004</v>
      </c>
      <c r="M810" s="15">
        <f t="shared" si="257"/>
        <v>2004.5833333333333</v>
      </c>
      <c r="N810" s="5">
        <v>1981</v>
      </c>
      <c r="O810" s="5">
        <f t="shared" si="258"/>
        <v>1981</v>
      </c>
      <c r="P810" s="5">
        <f t="shared" si="259"/>
        <v>16.508333333333333</v>
      </c>
      <c r="Q810" s="5">
        <f t="shared" si="260"/>
        <v>198.1</v>
      </c>
      <c r="R810" s="5">
        <f t="shared" si="261"/>
        <v>0</v>
      </c>
      <c r="S810" s="5">
        <f t="shared" si="262"/>
        <v>1981</v>
      </c>
      <c r="T810" s="5">
        <f t="shared" si="263"/>
        <v>1981</v>
      </c>
      <c r="U810" s="5">
        <f t="shared" si="264"/>
        <v>0</v>
      </c>
    </row>
    <row r="811" spans="2:21">
      <c r="B811" s="12">
        <v>15</v>
      </c>
      <c r="C811" t="s">
        <v>63</v>
      </c>
      <c r="G811">
        <v>1994</v>
      </c>
      <c r="H811">
        <v>5</v>
      </c>
      <c r="I811">
        <v>0</v>
      </c>
      <c r="J811" t="s">
        <v>30</v>
      </c>
      <c r="K811" s="45" t="s">
        <v>35</v>
      </c>
      <c r="L811">
        <f t="shared" si="256"/>
        <v>2004</v>
      </c>
      <c r="M811" s="15">
        <f t="shared" si="257"/>
        <v>2004.4166666666667</v>
      </c>
      <c r="N811" s="5">
        <v>3714</v>
      </c>
      <c r="O811" s="5">
        <f t="shared" si="258"/>
        <v>3714</v>
      </c>
      <c r="P811" s="5">
        <f t="shared" si="259"/>
        <v>30.95</v>
      </c>
      <c r="Q811" s="5">
        <f t="shared" si="260"/>
        <v>371.4</v>
      </c>
      <c r="R811" s="5">
        <f t="shared" si="261"/>
        <v>0</v>
      </c>
      <c r="S811" s="5">
        <f t="shared" si="262"/>
        <v>3714</v>
      </c>
      <c r="T811" s="5">
        <f t="shared" si="263"/>
        <v>3714</v>
      </c>
      <c r="U811" s="5">
        <f t="shared" si="264"/>
        <v>0</v>
      </c>
    </row>
    <row r="812" spans="2:21">
      <c r="B812" s="12">
        <v>15</v>
      </c>
      <c r="C812" t="s">
        <v>63</v>
      </c>
      <c r="G812">
        <v>1994</v>
      </c>
      <c r="H812">
        <v>6</v>
      </c>
      <c r="I812">
        <v>0</v>
      </c>
      <c r="J812" t="s">
        <v>30</v>
      </c>
      <c r="K812" s="45" t="s">
        <v>35</v>
      </c>
      <c r="L812">
        <f t="shared" si="256"/>
        <v>2004</v>
      </c>
      <c r="M812" s="15">
        <f t="shared" si="257"/>
        <v>2004.5</v>
      </c>
      <c r="N812" s="5">
        <v>4301</v>
      </c>
      <c r="O812" s="5">
        <f t="shared" si="258"/>
        <v>4301</v>
      </c>
      <c r="P812" s="5">
        <f t="shared" si="259"/>
        <v>35.841666666666669</v>
      </c>
      <c r="Q812" s="5">
        <f t="shared" si="260"/>
        <v>430.1</v>
      </c>
      <c r="R812" s="5">
        <f t="shared" si="261"/>
        <v>0</v>
      </c>
      <c r="S812" s="5">
        <f t="shared" si="262"/>
        <v>4301</v>
      </c>
      <c r="T812" s="5">
        <f t="shared" si="263"/>
        <v>4301</v>
      </c>
      <c r="U812" s="5">
        <f t="shared" si="264"/>
        <v>0</v>
      </c>
    </row>
    <row r="813" spans="2:21">
      <c r="B813" s="12">
        <v>19</v>
      </c>
      <c r="C813" t="s">
        <v>63</v>
      </c>
      <c r="G813">
        <v>1994</v>
      </c>
      <c r="H813">
        <v>5</v>
      </c>
      <c r="I813">
        <v>0</v>
      </c>
      <c r="J813" t="s">
        <v>30</v>
      </c>
      <c r="K813" s="45" t="s">
        <v>35</v>
      </c>
      <c r="L813">
        <f t="shared" si="256"/>
        <v>2004</v>
      </c>
      <c r="M813" s="15">
        <f t="shared" si="257"/>
        <v>2004.4166666666667</v>
      </c>
      <c r="N813" s="5">
        <v>4705</v>
      </c>
      <c r="O813" s="5">
        <f t="shared" si="258"/>
        <v>4705</v>
      </c>
      <c r="P813" s="5">
        <f t="shared" si="259"/>
        <v>39.208333333333336</v>
      </c>
      <c r="Q813" s="5">
        <f t="shared" si="260"/>
        <v>470.5</v>
      </c>
      <c r="R813" s="5">
        <f t="shared" si="261"/>
        <v>0</v>
      </c>
      <c r="S813" s="5">
        <f t="shared" si="262"/>
        <v>4705</v>
      </c>
      <c r="T813" s="5">
        <f t="shared" si="263"/>
        <v>4705</v>
      </c>
      <c r="U813" s="5">
        <f t="shared" si="264"/>
        <v>0</v>
      </c>
    </row>
    <row r="814" spans="2:21">
      <c r="B814" s="12">
        <v>15</v>
      </c>
      <c r="C814" t="s">
        <v>63</v>
      </c>
      <c r="G814">
        <v>1994</v>
      </c>
      <c r="H814">
        <v>5</v>
      </c>
      <c r="I814">
        <v>0</v>
      </c>
      <c r="J814" t="s">
        <v>30</v>
      </c>
      <c r="K814" s="45" t="s">
        <v>35</v>
      </c>
      <c r="L814">
        <f t="shared" si="256"/>
        <v>2004</v>
      </c>
      <c r="M814" s="15">
        <f t="shared" si="257"/>
        <v>2004.4166666666667</v>
      </c>
      <c r="N814" s="5">
        <v>5031</v>
      </c>
      <c r="O814" s="5">
        <f t="shared" si="258"/>
        <v>5031</v>
      </c>
      <c r="P814" s="5">
        <f t="shared" si="259"/>
        <v>41.925000000000004</v>
      </c>
      <c r="Q814" s="5">
        <f t="shared" si="260"/>
        <v>503.1</v>
      </c>
      <c r="R814" s="5">
        <f t="shared" si="261"/>
        <v>0</v>
      </c>
      <c r="S814" s="5">
        <f t="shared" si="262"/>
        <v>5031</v>
      </c>
      <c r="T814" s="5">
        <f t="shared" si="263"/>
        <v>5031</v>
      </c>
      <c r="U814" s="5">
        <f t="shared" si="264"/>
        <v>0</v>
      </c>
    </row>
    <row r="815" spans="2:21">
      <c r="B815" s="12">
        <v>20</v>
      </c>
      <c r="C815" t="s">
        <v>63</v>
      </c>
      <c r="G815">
        <v>1995</v>
      </c>
      <c r="H815">
        <v>8</v>
      </c>
      <c r="I815">
        <v>0</v>
      </c>
      <c r="J815" t="s">
        <v>30</v>
      </c>
      <c r="K815" s="45" t="s">
        <v>35</v>
      </c>
      <c r="L815">
        <f t="shared" si="256"/>
        <v>2005</v>
      </c>
      <c r="M815" s="15">
        <f t="shared" si="257"/>
        <v>2005.6666666666667</v>
      </c>
      <c r="N815" s="5">
        <v>5735</v>
      </c>
      <c r="O815" s="5">
        <f t="shared" si="258"/>
        <v>5735</v>
      </c>
      <c r="P815" s="5">
        <f t="shared" si="259"/>
        <v>47.791666666666664</v>
      </c>
      <c r="Q815" s="5">
        <f t="shared" si="260"/>
        <v>573.5</v>
      </c>
      <c r="R815" s="5">
        <f t="shared" si="261"/>
        <v>0</v>
      </c>
      <c r="S815" s="5">
        <f t="shared" si="262"/>
        <v>5735</v>
      </c>
      <c r="T815" s="5">
        <f t="shared" si="263"/>
        <v>5735</v>
      </c>
      <c r="U815" s="5">
        <f t="shared" si="264"/>
        <v>0</v>
      </c>
    </row>
    <row r="816" spans="2:21">
      <c r="B816" s="12">
        <v>22</v>
      </c>
      <c r="C816" t="s">
        <v>63</v>
      </c>
      <c r="G816">
        <v>1994</v>
      </c>
      <c r="H816">
        <v>3</v>
      </c>
      <c r="I816">
        <v>0</v>
      </c>
      <c r="J816" t="s">
        <v>30</v>
      </c>
      <c r="K816" s="45" t="s">
        <v>35</v>
      </c>
      <c r="L816">
        <f t="shared" si="256"/>
        <v>2004</v>
      </c>
      <c r="M816" s="15">
        <f t="shared" si="257"/>
        <v>2004.25</v>
      </c>
      <c r="N816" s="5">
        <v>6191</v>
      </c>
      <c r="O816" s="5">
        <f t="shared" si="258"/>
        <v>6191</v>
      </c>
      <c r="P816" s="5">
        <f t="shared" si="259"/>
        <v>51.591666666666669</v>
      </c>
      <c r="Q816" s="5">
        <f t="shared" si="260"/>
        <v>619.1</v>
      </c>
      <c r="R816" s="5">
        <f t="shared" si="261"/>
        <v>0</v>
      </c>
      <c r="S816" s="5">
        <f t="shared" si="262"/>
        <v>6191</v>
      </c>
      <c r="T816" s="5">
        <f t="shared" si="263"/>
        <v>6191</v>
      </c>
      <c r="U816" s="5">
        <f t="shared" si="264"/>
        <v>0</v>
      </c>
    </row>
    <row r="817" spans="2:21">
      <c r="B817" s="12">
        <v>20</v>
      </c>
      <c r="C817" t="s">
        <v>63</v>
      </c>
      <c r="G817">
        <v>1994</v>
      </c>
      <c r="H817">
        <v>7</v>
      </c>
      <c r="I817">
        <v>0</v>
      </c>
      <c r="J817" t="s">
        <v>30</v>
      </c>
      <c r="K817" s="45" t="s">
        <v>35</v>
      </c>
      <c r="L817">
        <f t="shared" si="256"/>
        <v>2004</v>
      </c>
      <c r="M817" s="15">
        <f t="shared" si="257"/>
        <v>2004.5833333333333</v>
      </c>
      <c r="N817" s="5">
        <v>6708</v>
      </c>
      <c r="O817" s="5">
        <f t="shared" si="258"/>
        <v>6708</v>
      </c>
      <c r="P817" s="5">
        <f t="shared" si="259"/>
        <v>55.9</v>
      </c>
      <c r="Q817" s="5">
        <f t="shared" si="260"/>
        <v>670.8</v>
      </c>
      <c r="R817" s="5">
        <f t="shared" si="261"/>
        <v>0</v>
      </c>
      <c r="S817" s="5">
        <f t="shared" si="262"/>
        <v>6708</v>
      </c>
      <c r="T817" s="5">
        <f t="shared" si="263"/>
        <v>6708</v>
      </c>
      <c r="U817" s="5">
        <f t="shared" si="264"/>
        <v>0</v>
      </c>
    </row>
    <row r="818" spans="2:21">
      <c r="B818" s="12">
        <v>25</v>
      </c>
      <c r="C818" t="s">
        <v>63</v>
      </c>
      <c r="G818">
        <v>1994</v>
      </c>
      <c r="H818">
        <v>5</v>
      </c>
      <c r="I818">
        <v>0</v>
      </c>
      <c r="J818" t="s">
        <v>30</v>
      </c>
      <c r="K818" s="45" t="s">
        <v>35</v>
      </c>
      <c r="L818">
        <f t="shared" si="256"/>
        <v>2004</v>
      </c>
      <c r="M818" s="15">
        <f t="shared" si="257"/>
        <v>2004.4166666666667</v>
      </c>
      <c r="N818" s="5">
        <v>7168</v>
      </c>
      <c r="O818" s="5">
        <f t="shared" si="258"/>
        <v>7168</v>
      </c>
      <c r="P818" s="5">
        <f t="shared" si="259"/>
        <v>59.733333333333327</v>
      </c>
      <c r="Q818" s="5">
        <f t="shared" si="260"/>
        <v>716.8</v>
      </c>
      <c r="R818" s="5">
        <f t="shared" si="261"/>
        <v>0</v>
      </c>
      <c r="S818" s="5">
        <f t="shared" si="262"/>
        <v>7168</v>
      </c>
      <c r="T818" s="5">
        <f t="shared" si="263"/>
        <v>7168</v>
      </c>
      <c r="U818" s="5">
        <f t="shared" si="264"/>
        <v>0</v>
      </c>
    </row>
    <row r="819" spans="2:21">
      <c r="B819" s="12">
        <v>25</v>
      </c>
      <c r="C819" t="s">
        <v>63</v>
      </c>
      <c r="G819">
        <v>1994</v>
      </c>
      <c r="H819">
        <v>5</v>
      </c>
      <c r="I819">
        <v>0</v>
      </c>
      <c r="J819" t="s">
        <v>30</v>
      </c>
      <c r="K819" s="45" t="s">
        <v>35</v>
      </c>
      <c r="L819">
        <f t="shared" si="256"/>
        <v>2004</v>
      </c>
      <c r="M819" s="15">
        <f t="shared" si="257"/>
        <v>2004.4166666666667</v>
      </c>
      <c r="N819" s="5">
        <v>7168</v>
      </c>
      <c r="O819" s="5">
        <f t="shared" si="258"/>
        <v>7168</v>
      </c>
      <c r="P819" s="5">
        <f t="shared" si="259"/>
        <v>59.733333333333327</v>
      </c>
      <c r="Q819" s="5">
        <f t="shared" si="260"/>
        <v>716.8</v>
      </c>
      <c r="R819" s="5">
        <f t="shared" si="261"/>
        <v>0</v>
      </c>
      <c r="S819" s="5">
        <f t="shared" si="262"/>
        <v>7168</v>
      </c>
      <c r="T819" s="5">
        <f t="shared" si="263"/>
        <v>7168</v>
      </c>
      <c r="U819" s="5">
        <f t="shared" si="264"/>
        <v>0</v>
      </c>
    </row>
    <row r="820" spans="2:21">
      <c r="B820" s="12">
        <v>30</v>
      </c>
      <c r="C820" t="s">
        <v>63</v>
      </c>
      <c r="G820">
        <v>1994</v>
      </c>
      <c r="H820">
        <v>7</v>
      </c>
      <c r="I820">
        <v>0</v>
      </c>
      <c r="J820" t="s">
        <v>30</v>
      </c>
      <c r="K820" s="45" t="s">
        <v>35</v>
      </c>
      <c r="L820">
        <f t="shared" ref="L820:L846" si="265">G820+K820</f>
        <v>2004</v>
      </c>
      <c r="M820" s="15">
        <f t="shared" ref="M820:M846" si="266">+L820+(H820/12)</f>
        <v>2004.5833333333333</v>
      </c>
      <c r="N820" s="5">
        <v>8602</v>
      </c>
      <c r="O820" s="5">
        <f t="shared" ref="O820:O846" si="267">N820-N820*I820</f>
        <v>8602</v>
      </c>
      <c r="P820" s="5">
        <f t="shared" ref="P820:P846" si="268">O820/K820/12</f>
        <v>71.683333333333337</v>
      </c>
      <c r="Q820" s="5">
        <f t="shared" ref="Q820:Q846" si="269">P820*12</f>
        <v>860.2</v>
      </c>
      <c r="R820" s="5">
        <f t="shared" ref="R820:R846" si="270">+IF(M820&lt;=$O$5,0,IF(L820&gt;$O$4,Q820,(P820*H820)))</f>
        <v>0</v>
      </c>
      <c r="S820" s="5">
        <f t="shared" ref="S820:S846" si="271">+IF(R820=0,N820,IF($O$3-G820&lt;1,0,(($O$3-G820)*Q820)))</f>
        <v>8602</v>
      </c>
      <c r="T820" s="5">
        <f t="shared" ref="T820:T846" si="272">+IF(R820=0,S820,S820+R820)</f>
        <v>8602</v>
      </c>
      <c r="U820" s="5">
        <f t="shared" ref="U820:U846" si="273">+N820-T820</f>
        <v>0</v>
      </c>
    </row>
    <row r="821" spans="2:21">
      <c r="B821" s="16">
        <v>10</v>
      </c>
      <c r="C821" t="s">
        <v>223</v>
      </c>
      <c r="G821">
        <v>1997</v>
      </c>
      <c r="H821">
        <v>8</v>
      </c>
      <c r="I821">
        <v>0</v>
      </c>
      <c r="J821" t="s">
        <v>30</v>
      </c>
      <c r="K821" s="45" t="s">
        <v>35</v>
      </c>
      <c r="L821">
        <f t="shared" si="265"/>
        <v>2007</v>
      </c>
      <c r="M821" s="15">
        <f t="shared" si="266"/>
        <v>2007.6666666666667</v>
      </c>
      <c r="N821" s="5">
        <v>3149.4</v>
      </c>
      <c r="O821" s="5">
        <f t="shared" si="267"/>
        <v>3149.4</v>
      </c>
      <c r="P821" s="5">
        <f t="shared" si="268"/>
        <v>26.245000000000001</v>
      </c>
      <c r="Q821" s="5">
        <f t="shared" si="269"/>
        <v>314.94</v>
      </c>
      <c r="R821" s="5">
        <f t="shared" si="270"/>
        <v>0</v>
      </c>
      <c r="S821" s="5">
        <f t="shared" si="271"/>
        <v>3149.4</v>
      </c>
      <c r="T821" s="5">
        <f t="shared" si="272"/>
        <v>3149.4</v>
      </c>
      <c r="U821" s="5">
        <f t="shared" si="273"/>
        <v>0</v>
      </c>
    </row>
    <row r="822" spans="2:21">
      <c r="B822" s="16">
        <v>20</v>
      </c>
      <c r="C822" t="s">
        <v>223</v>
      </c>
      <c r="G822">
        <v>1997</v>
      </c>
      <c r="H822">
        <v>9</v>
      </c>
      <c r="I822">
        <v>0</v>
      </c>
      <c r="J822" t="s">
        <v>30</v>
      </c>
      <c r="K822" s="45" t="s">
        <v>35</v>
      </c>
      <c r="L822">
        <f t="shared" si="265"/>
        <v>2007</v>
      </c>
      <c r="M822" s="15">
        <f t="shared" si="266"/>
        <v>2007.75</v>
      </c>
      <c r="N822" s="5">
        <v>6081.6</v>
      </c>
      <c r="O822" s="5">
        <f t="shared" si="267"/>
        <v>6081.6</v>
      </c>
      <c r="P822" s="5">
        <f t="shared" si="268"/>
        <v>50.680000000000007</v>
      </c>
      <c r="Q822" s="5">
        <f t="shared" si="269"/>
        <v>608.16000000000008</v>
      </c>
      <c r="R822" s="5">
        <f t="shared" si="270"/>
        <v>0</v>
      </c>
      <c r="S822" s="5">
        <f t="shared" si="271"/>
        <v>6081.6</v>
      </c>
      <c r="T822" s="5">
        <f t="shared" si="272"/>
        <v>6081.6</v>
      </c>
      <c r="U822" s="5">
        <f t="shared" si="273"/>
        <v>0</v>
      </c>
    </row>
    <row r="823" spans="2:21">
      <c r="B823" s="16">
        <v>30</v>
      </c>
      <c r="C823" t="s">
        <v>223</v>
      </c>
      <c r="G823">
        <v>1997</v>
      </c>
      <c r="H823">
        <v>8</v>
      </c>
      <c r="I823">
        <v>0</v>
      </c>
      <c r="J823" t="s">
        <v>30</v>
      </c>
      <c r="K823" s="45" t="s">
        <v>35</v>
      </c>
      <c r="L823">
        <f t="shared" si="265"/>
        <v>2007</v>
      </c>
      <c r="M823" s="15">
        <f t="shared" si="266"/>
        <v>2007.6666666666667</v>
      </c>
      <c r="N823" s="5">
        <v>9122.4</v>
      </c>
      <c r="O823" s="5">
        <f t="shared" si="267"/>
        <v>9122.4</v>
      </c>
      <c r="P823" s="5">
        <f t="shared" si="268"/>
        <v>76.02</v>
      </c>
      <c r="Q823" s="5">
        <f t="shared" si="269"/>
        <v>912.24</v>
      </c>
      <c r="R823" s="5">
        <f t="shared" si="270"/>
        <v>0</v>
      </c>
      <c r="S823" s="5">
        <f t="shared" si="271"/>
        <v>9122.4</v>
      </c>
      <c r="T823" s="5">
        <f t="shared" si="272"/>
        <v>9122.4</v>
      </c>
      <c r="U823" s="5">
        <f t="shared" si="273"/>
        <v>0</v>
      </c>
    </row>
    <row r="824" spans="2:21">
      <c r="B824" s="16">
        <v>12</v>
      </c>
      <c r="C824" t="s">
        <v>224</v>
      </c>
      <c r="G824">
        <v>1994</v>
      </c>
      <c r="H824">
        <v>10</v>
      </c>
      <c r="I824">
        <v>0</v>
      </c>
      <c r="J824" t="s">
        <v>30</v>
      </c>
      <c r="K824" s="45" t="s">
        <v>35</v>
      </c>
      <c r="L824">
        <f t="shared" si="265"/>
        <v>2004</v>
      </c>
      <c r="M824" s="15">
        <f t="shared" si="266"/>
        <v>2004.8333333333333</v>
      </c>
      <c r="N824" s="5">
        <v>4025</v>
      </c>
      <c r="O824" s="5">
        <f t="shared" si="267"/>
        <v>4025</v>
      </c>
      <c r="P824" s="5">
        <f t="shared" si="268"/>
        <v>33.541666666666664</v>
      </c>
      <c r="Q824" s="5">
        <f t="shared" si="269"/>
        <v>402.5</v>
      </c>
      <c r="R824" s="5">
        <f t="shared" si="270"/>
        <v>0</v>
      </c>
      <c r="S824" s="5">
        <f t="shared" si="271"/>
        <v>4025</v>
      </c>
      <c r="T824" s="5">
        <f t="shared" si="272"/>
        <v>4025</v>
      </c>
      <c r="U824" s="5">
        <f t="shared" si="273"/>
        <v>0</v>
      </c>
    </row>
    <row r="825" spans="2:21">
      <c r="B825" s="16">
        <v>15</v>
      </c>
      <c r="C825" t="s">
        <v>224</v>
      </c>
      <c r="G825">
        <v>1994</v>
      </c>
      <c r="H825">
        <v>11</v>
      </c>
      <c r="I825">
        <v>0</v>
      </c>
      <c r="J825" t="s">
        <v>30</v>
      </c>
      <c r="K825" s="45" t="s">
        <v>35</v>
      </c>
      <c r="L825">
        <f t="shared" si="265"/>
        <v>2004</v>
      </c>
      <c r="M825" s="15">
        <f t="shared" si="266"/>
        <v>2004.9166666666667</v>
      </c>
      <c r="N825" s="5">
        <v>4301</v>
      </c>
      <c r="O825" s="5">
        <f t="shared" si="267"/>
        <v>4301</v>
      </c>
      <c r="P825" s="5">
        <f t="shared" si="268"/>
        <v>35.841666666666669</v>
      </c>
      <c r="Q825" s="5">
        <f t="shared" si="269"/>
        <v>430.1</v>
      </c>
      <c r="R825" s="5">
        <f t="shared" si="270"/>
        <v>0</v>
      </c>
      <c r="S825" s="5">
        <f t="shared" si="271"/>
        <v>4301</v>
      </c>
      <c r="T825" s="5">
        <f t="shared" si="272"/>
        <v>4301</v>
      </c>
      <c r="U825" s="5">
        <f t="shared" si="273"/>
        <v>0</v>
      </c>
    </row>
    <row r="826" spans="2:21">
      <c r="B826" s="16">
        <v>24</v>
      </c>
      <c r="C826" t="s">
        <v>224</v>
      </c>
      <c r="G826">
        <v>1994</v>
      </c>
      <c r="H826">
        <v>10</v>
      </c>
      <c r="I826">
        <v>0</v>
      </c>
      <c r="J826" t="s">
        <v>30</v>
      </c>
      <c r="K826" s="45" t="s">
        <v>35</v>
      </c>
      <c r="L826">
        <f t="shared" si="265"/>
        <v>2004</v>
      </c>
      <c r="M826" s="15">
        <f t="shared" si="266"/>
        <v>2004.8333333333333</v>
      </c>
      <c r="N826" s="5">
        <v>6882</v>
      </c>
      <c r="O826" s="5">
        <f t="shared" si="267"/>
        <v>6882</v>
      </c>
      <c r="P826" s="5">
        <f t="shared" si="268"/>
        <v>57.35</v>
      </c>
      <c r="Q826" s="5">
        <f t="shared" si="269"/>
        <v>688.2</v>
      </c>
      <c r="R826" s="5">
        <f t="shared" si="270"/>
        <v>0</v>
      </c>
      <c r="S826" s="5">
        <f t="shared" si="271"/>
        <v>6882</v>
      </c>
      <c r="T826" s="5">
        <f t="shared" si="272"/>
        <v>6882</v>
      </c>
      <c r="U826" s="5">
        <f t="shared" si="273"/>
        <v>0</v>
      </c>
    </row>
    <row r="827" spans="2:21">
      <c r="B827" s="16">
        <v>40</v>
      </c>
      <c r="C827" t="s">
        <v>224</v>
      </c>
      <c r="G827">
        <v>1995</v>
      </c>
      <c r="H827">
        <v>2</v>
      </c>
      <c r="I827">
        <v>0</v>
      </c>
      <c r="J827" t="s">
        <v>30</v>
      </c>
      <c r="K827" s="45" t="s">
        <v>35</v>
      </c>
      <c r="L827">
        <f t="shared" si="265"/>
        <v>2005</v>
      </c>
      <c r="M827" s="15">
        <f t="shared" si="266"/>
        <v>2005.1666666666667</v>
      </c>
      <c r="N827" s="5">
        <v>11469</v>
      </c>
      <c r="O827" s="5">
        <f t="shared" si="267"/>
        <v>11469</v>
      </c>
      <c r="P827" s="5">
        <f t="shared" si="268"/>
        <v>95.575000000000003</v>
      </c>
      <c r="Q827" s="5">
        <f t="shared" si="269"/>
        <v>1146.9000000000001</v>
      </c>
      <c r="R827" s="5">
        <f t="shared" si="270"/>
        <v>0</v>
      </c>
      <c r="S827" s="5">
        <f t="shared" si="271"/>
        <v>11469</v>
      </c>
      <c r="T827" s="5">
        <f t="shared" si="272"/>
        <v>11469</v>
      </c>
      <c r="U827" s="5">
        <f t="shared" si="273"/>
        <v>0</v>
      </c>
    </row>
    <row r="828" spans="2:21">
      <c r="B828" s="16">
        <v>15</v>
      </c>
      <c r="C828" t="s">
        <v>225</v>
      </c>
      <c r="G828">
        <v>1996</v>
      </c>
      <c r="H828">
        <v>12</v>
      </c>
      <c r="I828">
        <v>0</v>
      </c>
      <c r="J828" t="s">
        <v>30</v>
      </c>
      <c r="K828" s="45" t="s">
        <v>35</v>
      </c>
      <c r="L828">
        <f t="shared" si="265"/>
        <v>2006</v>
      </c>
      <c r="M828" s="15">
        <f t="shared" si="266"/>
        <v>2007</v>
      </c>
      <c r="N828" s="5">
        <v>4301</v>
      </c>
      <c r="O828" s="5">
        <f t="shared" si="267"/>
        <v>4301</v>
      </c>
      <c r="P828" s="5">
        <f t="shared" si="268"/>
        <v>35.841666666666669</v>
      </c>
      <c r="Q828" s="5">
        <f t="shared" si="269"/>
        <v>430.1</v>
      </c>
      <c r="R828" s="5">
        <f t="shared" si="270"/>
        <v>0</v>
      </c>
      <c r="S828" s="5">
        <f t="shared" si="271"/>
        <v>4301</v>
      </c>
      <c r="T828" s="5">
        <f t="shared" si="272"/>
        <v>4301</v>
      </c>
      <c r="U828" s="5">
        <f t="shared" si="273"/>
        <v>0</v>
      </c>
    </row>
    <row r="829" spans="2:21">
      <c r="B829" s="16">
        <v>10</v>
      </c>
      <c r="C829" t="s">
        <v>225</v>
      </c>
      <c r="G829">
        <v>1997</v>
      </c>
      <c r="H829">
        <v>6</v>
      </c>
      <c r="I829">
        <v>0</v>
      </c>
      <c r="J829" t="s">
        <v>30</v>
      </c>
      <c r="K829" s="45" t="s">
        <v>35</v>
      </c>
      <c r="L829">
        <f t="shared" si="265"/>
        <v>2007</v>
      </c>
      <c r="M829" s="15">
        <f t="shared" si="266"/>
        <v>2007.5</v>
      </c>
      <c r="N829" s="5">
        <v>4507</v>
      </c>
      <c r="O829" s="5">
        <f t="shared" si="267"/>
        <v>4507</v>
      </c>
      <c r="P829" s="5">
        <f t="shared" si="268"/>
        <v>37.55833333333333</v>
      </c>
      <c r="Q829" s="5">
        <f t="shared" si="269"/>
        <v>450.69999999999993</v>
      </c>
      <c r="R829" s="5">
        <f t="shared" si="270"/>
        <v>0</v>
      </c>
      <c r="S829" s="5">
        <f t="shared" si="271"/>
        <v>4507</v>
      </c>
      <c r="T829" s="5">
        <f t="shared" si="272"/>
        <v>4507</v>
      </c>
      <c r="U829" s="5">
        <f t="shared" si="273"/>
        <v>0</v>
      </c>
    </row>
    <row r="830" spans="2:21">
      <c r="B830" s="16">
        <v>20</v>
      </c>
      <c r="C830" t="s">
        <v>225</v>
      </c>
      <c r="G830">
        <v>1995</v>
      </c>
      <c r="H830">
        <v>10</v>
      </c>
      <c r="I830">
        <v>0</v>
      </c>
      <c r="J830" t="s">
        <v>30</v>
      </c>
      <c r="K830" s="45" t="s">
        <v>35</v>
      </c>
      <c r="L830">
        <f t="shared" si="265"/>
        <v>2005</v>
      </c>
      <c r="M830" s="15">
        <f t="shared" si="266"/>
        <v>2005.8333333333333</v>
      </c>
      <c r="N830" s="5">
        <v>5735</v>
      </c>
      <c r="O830" s="5">
        <f t="shared" si="267"/>
        <v>5735</v>
      </c>
      <c r="P830" s="5">
        <f t="shared" si="268"/>
        <v>47.791666666666664</v>
      </c>
      <c r="Q830" s="5">
        <f t="shared" si="269"/>
        <v>573.5</v>
      </c>
      <c r="R830" s="5">
        <f t="shared" si="270"/>
        <v>0</v>
      </c>
      <c r="S830" s="5">
        <f t="shared" si="271"/>
        <v>5735</v>
      </c>
      <c r="T830" s="5">
        <f t="shared" si="272"/>
        <v>5735</v>
      </c>
      <c r="U830" s="5">
        <f t="shared" si="273"/>
        <v>0</v>
      </c>
    </row>
    <row r="831" spans="2:21">
      <c r="B831" s="16">
        <v>20</v>
      </c>
      <c r="C831" t="s">
        <v>225</v>
      </c>
      <c r="G831">
        <v>1995</v>
      </c>
      <c r="H831">
        <v>10</v>
      </c>
      <c r="I831">
        <v>0</v>
      </c>
      <c r="J831" t="s">
        <v>30</v>
      </c>
      <c r="K831" s="45" t="s">
        <v>35</v>
      </c>
      <c r="L831">
        <f t="shared" si="265"/>
        <v>2005</v>
      </c>
      <c r="M831" s="15">
        <f t="shared" si="266"/>
        <v>2005.8333333333333</v>
      </c>
      <c r="N831" s="5">
        <v>5735</v>
      </c>
      <c r="O831" s="5">
        <f t="shared" si="267"/>
        <v>5735</v>
      </c>
      <c r="P831" s="5">
        <f t="shared" si="268"/>
        <v>47.791666666666664</v>
      </c>
      <c r="Q831" s="5">
        <f t="shared" si="269"/>
        <v>573.5</v>
      </c>
      <c r="R831" s="5">
        <f t="shared" si="270"/>
        <v>0</v>
      </c>
      <c r="S831" s="5">
        <f t="shared" si="271"/>
        <v>5735</v>
      </c>
      <c r="T831" s="5">
        <f t="shared" si="272"/>
        <v>5735</v>
      </c>
      <c r="U831" s="5">
        <f t="shared" si="273"/>
        <v>0</v>
      </c>
    </row>
    <row r="832" spans="2:21">
      <c r="B832" s="16">
        <v>20</v>
      </c>
      <c r="C832" t="s">
        <v>225</v>
      </c>
      <c r="G832">
        <v>1996</v>
      </c>
      <c r="H832">
        <v>3</v>
      </c>
      <c r="I832">
        <v>0</v>
      </c>
      <c r="J832" t="s">
        <v>30</v>
      </c>
      <c r="K832" s="45" t="s">
        <v>35</v>
      </c>
      <c r="L832">
        <f t="shared" si="265"/>
        <v>2006</v>
      </c>
      <c r="M832" s="15">
        <f t="shared" si="266"/>
        <v>2006.25</v>
      </c>
      <c r="N832" s="5">
        <v>5735</v>
      </c>
      <c r="O832" s="5">
        <f t="shared" si="267"/>
        <v>5735</v>
      </c>
      <c r="P832" s="5">
        <f t="shared" si="268"/>
        <v>47.791666666666664</v>
      </c>
      <c r="Q832" s="5">
        <f t="shared" si="269"/>
        <v>573.5</v>
      </c>
      <c r="R832" s="5">
        <f t="shared" si="270"/>
        <v>0</v>
      </c>
      <c r="S832" s="5">
        <f t="shared" si="271"/>
        <v>5735</v>
      </c>
      <c r="T832" s="5">
        <f t="shared" si="272"/>
        <v>5735</v>
      </c>
      <c r="U832" s="5">
        <f t="shared" si="273"/>
        <v>0</v>
      </c>
    </row>
    <row r="833" spans="2:21">
      <c r="B833" s="16">
        <v>20</v>
      </c>
      <c r="C833" t="s">
        <v>225</v>
      </c>
      <c r="G833">
        <v>1996</v>
      </c>
      <c r="H833">
        <v>5</v>
      </c>
      <c r="I833">
        <v>0</v>
      </c>
      <c r="J833" t="s">
        <v>30</v>
      </c>
      <c r="K833" s="45" t="s">
        <v>35</v>
      </c>
      <c r="L833">
        <f t="shared" si="265"/>
        <v>2006</v>
      </c>
      <c r="M833" s="15">
        <f t="shared" si="266"/>
        <v>2006.4166666666667</v>
      </c>
      <c r="N833" s="5">
        <v>5735</v>
      </c>
      <c r="O833" s="5">
        <f t="shared" si="267"/>
        <v>5735</v>
      </c>
      <c r="P833" s="5">
        <f t="shared" si="268"/>
        <v>47.791666666666664</v>
      </c>
      <c r="Q833" s="5">
        <f t="shared" si="269"/>
        <v>573.5</v>
      </c>
      <c r="R833" s="5">
        <f t="shared" si="270"/>
        <v>0</v>
      </c>
      <c r="S833" s="5">
        <f t="shared" si="271"/>
        <v>5735</v>
      </c>
      <c r="T833" s="5">
        <f t="shared" si="272"/>
        <v>5735</v>
      </c>
      <c r="U833" s="5">
        <f t="shared" si="273"/>
        <v>0</v>
      </c>
    </row>
    <row r="834" spans="2:21">
      <c r="B834" s="16">
        <v>20</v>
      </c>
      <c r="C834" t="s">
        <v>225</v>
      </c>
      <c r="G834">
        <v>1997</v>
      </c>
      <c r="H834">
        <v>5</v>
      </c>
      <c r="I834">
        <v>0</v>
      </c>
      <c r="J834" t="s">
        <v>30</v>
      </c>
      <c r="K834" s="45" t="s">
        <v>35</v>
      </c>
      <c r="L834">
        <f t="shared" si="265"/>
        <v>2007</v>
      </c>
      <c r="M834" s="15">
        <f t="shared" si="266"/>
        <v>2007.4166666666667</v>
      </c>
      <c r="N834" s="5">
        <v>5756</v>
      </c>
      <c r="O834" s="5">
        <f t="shared" si="267"/>
        <v>5756</v>
      </c>
      <c r="P834" s="5">
        <f t="shared" si="268"/>
        <v>47.966666666666669</v>
      </c>
      <c r="Q834" s="5">
        <f t="shared" si="269"/>
        <v>575.6</v>
      </c>
      <c r="R834" s="5">
        <f t="shared" si="270"/>
        <v>0</v>
      </c>
      <c r="S834" s="5">
        <f t="shared" si="271"/>
        <v>5756</v>
      </c>
      <c r="T834" s="5">
        <f t="shared" si="272"/>
        <v>5756</v>
      </c>
      <c r="U834" s="5">
        <f t="shared" si="273"/>
        <v>0</v>
      </c>
    </row>
    <row r="835" spans="2:21">
      <c r="B835" s="16">
        <v>20</v>
      </c>
      <c r="C835" t="s">
        <v>225</v>
      </c>
      <c r="G835">
        <v>1997</v>
      </c>
      <c r="H835">
        <v>6</v>
      </c>
      <c r="I835">
        <v>0</v>
      </c>
      <c r="J835" t="s">
        <v>30</v>
      </c>
      <c r="K835" s="45" t="s">
        <v>35</v>
      </c>
      <c r="L835">
        <f t="shared" si="265"/>
        <v>2007</v>
      </c>
      <c r="M835" s="15">
        <f t="shared" si="266"/>
        <v>2007.5</v>
      </c>
      <c r="N835" s="5">
        <v>5756</v>
      </c>
      <c r="O835" s="5">
        <f t="shared" si="267"/>
        <v>5756</v>
      </c>
      <c r="P835" s="5">
        <f t="shared" si="268"/>
        <v>47.966666666666669</v>
      </c>
      <c r="Q835" s="5">
        <f t="shared" si="269"/>
        <v>575.6</v>
      </c>
      <c r="R835" s="5">
        <f t="shared" si="270"/>
        <v>0</v>
      </c>
      <c r="S835" s="5">
        <f t="shared" si="271"/>
        <v>5756</v>
      </c>
      <c r="T835" s="5">
        <f t="shared" si="272"/>
        <v>5756</v>
      </c>
      <c r="U835" s="5">
        <f t="shared" si="273"/>
        <v>0</v>
      </c>
    </row>
    <row r="836" spans="2:21">
      <c r="B836" s="16">
        <v>20</v>
      </c>
      <c r="C836" t="s">
        <v>225</v>
      </c>
      <c r="G836">
        <v>1995</v>
      </c>
      <c r="H836">
        <v>11</v>
      </c>
      <c r="I836">
        <v>0</v>
      </c>
      <c r="J836" t="s">
        <v>30</v>
      </c>
      <c r="K836" s="45" t="s">
        <v>35</v>
      </c>
      <c r="L836">
        <f t="shared" si="265"/>
        <v>2005</v>
      </c>
      <c r="M836" s="15">
        <f t="shared" si="266"/>
        <v>2005.9166666666667</v>
      </c>
      <c r="N836" s="5">
        <v>6059</v>
      </c>
      <c r="O836" s="5">
        <f t="shared" si="267"/>
        <v>6059</v>
      </c>
      <c r="P836" s="5">
        <f t="shared" si="268"/>
        <v>50.491666666666667</v>
      </c>
      <c r="Q836" s="5">
        <f t="shared" si="269"/>
        <v>605.9</v>
      </c>
      <c r="R836" s="5">
        <f t="shared" si="270"/>
        <v>0</v>
      </c>
      <c r="S836" s="5">
        <f t="shared" si="271"/>
        <v>6059</v>
      </c>
      <c r="T836" s="5">
        <f t="shared" si="272"/>
        <v>6059</v>
      </c>
      <c r="U836" s="5">
        <f t="shared" si="273"/>
        <v>0</v>
      </c>
    </row>
    <row r="837" spans="2:21">
      <c r="B837" s="16">
        <v>24</v>
      </c>
      <c r="C837" t="s">
        <v>225</v>
      </c>
      <c r="G837">
        <v>1995</v>
      </c>
      <c r="H837">
        <v>10</v>
      </c>
      <c r="I837">
        <v>0</v>
      </c>
      <c r="J837" t="s">
        <v>30</v>
      </c>
      <c r="K837" s="45" t="s">
        <v>35</v>
      </c>
      <c r="L837">
        <f t="shared" si="265"/>
        <v>2005</v>
      </c>
      <c r="M837" s="15">
        <f t="shared" si="266"/>
        <v>2005.8333333333333</v>
      </c>
      <c r="N837" s="5">
        <v>7141</v>
      </c>
      <c r="O837" s="5">
        <f t="shared" si="267"/>
        <v>7141</v>
      </c>
      <c r="P837" s="5">
        <f t="shared" si="268"/>
        <v>59.508333333333333</v>
      </c>
      <c r="Q837" s="5">
        <f t="shared" si="269"/>
        <v>714.1</v>
      </c>
      <c r="R837" s="5">
        <f t="shared" si="270"/>
        <v>0</v>
      </c>
      <c r="S837" s="5">
        <f t="shared" si="271"/>
        <v>7141</v>
      </c>
      <c r="T837" s="5">
        <f t="shared" si="272"/>
        <v>7141</v>
      </c>
      <c r="U837" s="5">
        <f t="shared" si="273"/>
        <v>0</v>
      </c>
    </row>
    <row r="838" spans="2:21">
      <c r="B838" s="16">
        <v>25</v>
      </c>
      <c r="C838" t="s">
        <v>225</v>
      </c>
      <c r="G838">
        <v>1996</v>
      </c>
      <c r="H838">
        <v>4</v>
      </c>
      <c r="I838">
        <v>0</v>
      </c>
      <c r="J838" t="s">
        <v>30</v>
      </c>
      <c r="K838" s="45" t="s">
        <v>35</v>
      </c>
      <c r="L838">
        <f t="shared" si="265"/>
        <v>2006</v>
      </c>
      <c r="M838" s="15">
        <f t="shared" si="266"/>
        <v>2006.3333333333333</v>
      </c>
      <c r="N838" s="5">
        <v>7168</v>
      </c>
      <c r="O838" s="5">
        <f t="shared" si="267"/>
        <v>7168</v>
      </c>
      <c r="P838" s="5">
        <f t="shared" si="268"/>
        <v>59.733333333333327</v>
      </c>
      <c r="Q838" s="5">
        <f t="shared" si="269"/>
        <v>716.8</v>
      </c>
      <c r="R838" s="5">
        <f t="shared" si="270"/>
        <v>0</v>
      </c>
      <c r="S838" s="5">
        <f t="shared" si="271"/>
        <v>7168</v>
      </c>
      <c r="T838" s="5">
        <f t="shared" si="272"/>
        <v>7168</v>
      </c>
      <c r="U838" s="5">
        <f t="shared" si="273"/>
        <v>0</v>
      </c>
    </row>
    <row r="839" spans="2:21">
      <c r="B839" s="16">
        <v>25</v>
      </c>
      <c r="C839" t="s">
        <v>225</v>
      </c>
      <c r="G839">
        <v>1996</v>
      </c>
      <c r="H839">
        <v>6</v>
      </c>
      <c r="I839">
        <v>0</v>
      </c>
      <c r="J839" t="s">
        <v>30</v>
      </c>
      <c r="K839" s="45" t="s">
        <v>35</v>
      </c>
      <c r="L839">
        <f t="shared" si="265"/>
        <v>2006</v>
      </c>
      <c r="M839" s="15">
        <f t="shared" si="266"/>
        <v>2006.5</v>
      </c>
      <c r="N839" s="5">
        <v>10274</v>
      </c>
      <c r="O839" s="5">
        <f t="shared" si="267"/>
        <v>10274</v>
      </c>
      <c r="P839" s="5">
        <f t="shared" si="268"/>
        <v>85.616666666666674</v>
      </c>
      <c r="Q839" s="5">
        <f t="shared" si="269"/>
        <v>1027.4000000000001</v>
      </c>
      <c r="R839" s="5">
        <f t="shared" si="270"/>
        <v>0</v>
      </c>
      <c r="S839" s="5">
        <f t="shared" si="271"/>
        <v>10274</v>
      </c>
      <c r="T839" s="5">
        <f t="shared" si="272"/>
        <v>10274</v>
      </c>
      <c r="U839" s="5">
        <f t="shared" si="273"/>
        <v>0</v>
      </c>
    </row>
    <row r="840" spans="2:21">
      <c r="B840" s="16">
        <v>30</v>
      </c>
      <c r="C840" t="s">
        <v>226</v>
      </c>
      <c r="G840">
        <v>1994</v>
      </c>
      <c r="H840">
        <v>8</v>
      </c>
      <c r="I840">
        <v>0</v>
      </c>
      <c r="J840" t="s">
        <v>30</v>
      </c>
      <c r="K840" s="45" t="s">
        <v>35</v>
      </c>
      <c r="L840">
        <f t="shared" si="265"/>
        <v>2004</v>
      </c>
      <c r="M840" s="15">
        <f t="shared" si="266"/>
        <v>2004.6666666666667</v>
      </c>
      <c r="N840" s="5">
        <v>8602</v>
      </c>
      <c r="O840" s="5">
        <f t="shared" si="267"/>
        <v>8602</v>
      </c>
      <c r="P840" s="5">
        <f t="shared" si="268"/>
        <v>71.683333333333337</v>
      </c>
      <c r="Q840" s="5">
        <f t="shared" si="269"/>
        <v>860.2</v>
      </c>
      <c r="R840" s="5">
        <f t="shared" si="270"/>
        <v>0</v>
      </c>
      <c r="S840" s="5">
        <f t="shared" si="271"/>
        <v>8602</v>
      </c>
      <c r="T840" s="5">
        <f t="shared" si="272"/>
        <v>8602</v>
      </c>
      <c r="U840" s="5">
        <f t="shared" si="273"/>
        <v>0</v>
      </c>
    </row>
    <row r="841" spans="2:21">
      <c r="B841" s="16">
        <v>12</v>
      </c>
      <c r="C841" t="s">
        <v>562</v>
      </c>
      <c r="G841">
        <v>1994</v>
      </c>
      <c r="H841">
        <v>8</v>
      </c>
      <c r="I841">
        <v>0</v>
      </c>
      <c r="J841" t="s">
        <v>30</v>
      </c>
      <c r="K841" s="45" t="s">
        <v>35</v>
      </c>
      <c r="L841">
        <f t="shared" si="265"/>
        <v>2004</v>
      </c>
      <c r="M841" s="15">
        <f t="shared" si="266"/>
        <v>2004.6666666666667</v>
      </c>
      <c r="N841" s="5">
        <v>4025</v>
      </c>
      <c r="O841" s="5">
        <f t="shared" si="267"/>
        <v>4025</v>
      </c>
      <c r="P841" s="5">
        <f t="shared" si="268"/>
        <v>33.541666666666664</v>
      </c>
      <c r="Q841" s="5">
        <f t="shared" si="269"/>
        <v>402.5</v>
      </c>
      <c r="R841" s="5">
        <f t="shared" si="270"/>
        <v>0</v>
      </c>
      <c r="S841" s="5">
        <f t="shared" si="271"/>
        <v>4025</v>
      </c>
      <c r="T841" s="5">
        <f t="shared" si="272"/>
        <v>4025</v>
      </c>
      <c r="U841" s="5">
        <f t="shared" si="273"/>
        <v>0</v>
      </c>
    </row>
    <row r="842" spans="2:21">
      <c r="B842" s="16">
        <v>30</v>
      </c>
      <c r="C842" t="s">
        <v>66</v>
      </c>
      <c r="G842">
        <v>1999</v>
      </c>
      <c r="H842">
        <v>9</v>
      </c>
      <c r="I842">
        <v>0</v>
      </c>
      <c r="J842" t="s">
        <v>30</v>
      </c>
      <c r="K842" s="45" t="s">
        <v>35</v>
      </c>
      <c r="L842">
        <f t="shared" si="265"/>
        <v>2009</v>
      </c>
      <c r="M842" s="15">
        <f t="shared" si="266"/>
        <v>2009.75</v>
      </c>
      <c r="N842" s="5">
        <v>10099.799999999999</v>
      </c>
      <c r="O842" s="5">
        <f t="shared" si="267"/>
        <v>10099.799999999999</v>
      </c>
      <c r="P842" s="5">
        <f t="shared" si="268"/>
        <v>84.164999999999992</v>
      </c>
      <c r="Q842" s="5">
        <f t="shared" si="269"/>
        <v>1009.9799999999999</v>
      </c>
      <c r="R842" s="5">
        <f t="shared" si="270"/>
        <v>0</v>
      </c>
      <c r="S842" s="5">
        <f t="shared" si="271"/>
        <v>10099.799999999999</v>
      </c>
      <c r="T842" s="5">
        <f t="shared" si="272"/>
        <v>10099.799999999999</v>
      </c>
      <c r="U842" s="5">
        <f t="shared" si="273"/>
        <v>0</v>
      </c>
    </row>
    <row r="843" spans="2:21">
      <c r="B843" s="16">
        <v>20</v>
      </c>
      <c r="C843" t="s">
        <v>227</v>
      </c>
      <c r="G843">
        <v>1998</v>
      </c>
      <c r="H843">
        <v>9</v>
      </c>
      <c r="I843">
        <v>0</v>
      </c>
      <c r="J843" t="s">
        <v>30</v>
      </c>
      <c r="K843" s="45" t="s">
        <v>35</v>
      </c>
      <c r="L843">
        <f t="shared" si="265"/>
        <v>2008</v>
      </c>
      <c r="M843" s="15">
        <f t="shared" si="266"/>
        <v>2008.75</v>
      </c>
      <c r="N843" s="5">
        <v>7602</v>
      </c>
      <c r="O843" s="5">
        <f t="shared" si="267"/>
        <v>7602</v>
      </c>
      <c r="P843" s="5">
        <f t="shared" si="268"/>
        <v>63.35</v>
      </c>
      <c r="Q843" s="5">
        <f t="shared" si="269"/>
        <v>760.2</v>
      </c>
      <c r="R843" s="5">
        <f t="shared" si="270"/>
        <v>0</v>
      </c>
      <c r="S843" s="5">
        <f t="shared" si="271"/>
        <v>7602</v>
      </c>
      <c r="T843" s="5">
        <f t="shared" si="272"/>
        <v>7602</v>
      </c>
      <c r="U843" s="5">
        <f t="shared" si="273"/>
        <v>0</v>
      </c>
    </row>
    <row r="844" spans="2:21">
      <c r="B844" s="16">
        <v>20</v>
      </c>
      <c r="C844" t="s">
        <v>228</v>
      </c>
      <c r="G844">
        <v>1994</v>
      </c>
      <c r="H844">
        <v>9</v>
      </c>
      <c r="I844">
        <v>0</v>
      </c>
      <c r="J844" t="s">
        <v>30</v>
      </c>
      <c r="K844" s="45" t="s">
        <v>35</v>
      </c>
      <c r="L844">
        <f t="shared" si="265"/>
        <v>2004</v>
      </c>
      <c r="M844" s="15">
        <f t="shared" si="266"/>
        <v>2004.75</v>
      </c>
      <c r="N844" s="5">
        <v>5735</v>
      </c>
      <c r="O844" s="5">
        <f t="shared" si="267"/>
        <v>5735</v>
      </c>
      <c r="P844" s="5">
        <f t="shared" si="268"/>
        <v>47.791666666666664</v>
      </c>
      <c r="Q844" s="5">
        <f t="shared" si="269"/>
        <v>573.5</v>
      </c>
      <c r="R844" s="5">
        <f t="shared" si="270"/>
        <v>0</v>
      </c>
      <c r="S844" s="5">
        <f t="shared" si="271"/>
        <v>5735</v>
      </c>
      <c r="T844" s="5">
        <f t="shared" si="272"/>
        <v>5735</v>
      </c>
      <c r="U844" s="5">
        <f t="shared" si="273"/>
        <v>0</v>
      </c>
    </row>
    <row r="845" spans="2:21">
      <c r="B845">
        <v>11</v>
      </c>
      <c r="C845" t="s">
        <v>561</v>
      </c>
      <c r="G845">
        <v>1994</v>
      </c>
      <c r="H845">
        <v>3</v>
      </c>
      <c r="I845">
        <v>0</v>
      </c>
      <c r="J845" t="s">
        <v>30</v>
      </c>
      <c r="K845" s="45" t="s">
        <v>35</v>
      </c>
      <c r="L845">
        <f t="shared" si="265"/>
        <v>2004</v>
      </c>
      <c r="M845" s="15">
        <f t="shared" si="266"/>
        <v>2004.25</v>
      </c>
      <c r="N845" s="5">
        <v>3578</v>
      </c>
      <c r="O845" s="5">
        <f t="shared" si="267"/>
        <v>3578</v>
      </c>
      <c r="P845" s="5">
        <f t="shared" si="268"/>
        <v>29.816666666666666</v>
      </c>
      <c r="Q845" s="5">
        <f t="shared" si="269"/>
        <v>357.8</v>
      </c>
      <c r="R845" s="5">
        <f t="shared" si="270"/>
        <v>0</v>
      </c>
      <c r="S845" s="5">
        <f t="shared" si="271"/>
        <v>3578</v>
      </c>
      <c r="T845" s="5">
        <f t="shared" si="272"/>
        <v>3578</v>
      </c>
      <c r="U845" s="5">
        <f t="shared" si="273"/>
        <v>0</v>
      </c>
    </row>
    <row r="846" spans="2:21">
      <c r="B846" s="16">
        <v>20</v>
      </c>
      <c r="C846" t="s">
        <v>229</v>
      </c>
      <c r="G846">
        <v>1997</v>
      </c>
      <c r="H846">
        <v>4</v>
      </c>
      <c r="I846">
        <v>0</v>
      </c>
      <c r="J846" t="s">
        <v>30</v>
      </c>
      <c r="K846" s="45" t="s">
        <v>35</v>
      </c>
      <c r="L846">
        <f t="shared" si="265"/>
        <v>2007</v>
      </c>
      <c r="M846" s="15">
        <f t="shared" si="266"/>
        <v>2007.3333333333333</v>
      </c>
      <c r="N846" s="5">
        <v>5756</v>
      </c>
      <c r="O846" s="5">
        <f t="shared" si="267"/>
        <v>5756</v>
      </c>
      <c r="P846" s="5">
        <f t="shared" si="268"/>
        <v>47.966666666666669</v>
      </c>
      <c r="Q846" s="5">
        <f t="shared" si="269"/>
        <v>575.6</v>
      </c>
      <c r="R846" s="5">
        <f t="shared" si="270"/>
        <v>0</v>
      </c>
      <c r="S846" s="5">
        <f t="shared" si="271"/>
        <v>5756</v>
      </c>
      <c r="T846" s="5">
        <f t="shared" si="272"/>
        <v>5756</v>
      </c>
      <c r="U846" s="5">
        <f t="shared" si="273"/>
        <v>0</v>
      </c>
    </row>
    <row r="848" spans="2:21">
      <c r="B848">
        <f>SUM(B788:B847)</f>
        <v>1090</v>
      </c>
      <c r="C848" t="s">
        <v>1161</v>
      </c>
    </row>
    <row r="850" spans="2:21">
      <c r="B850" s="12">
        <v>15</v>
      </c>
      <c r="C850" t="s">
        <v>230</v>
      </c>
      <c r="G850">
        <v>1994</v>
      </c>
      <c r="H850">
        <v>6</v>
      </c>
      <c r="I850">
        <v>0</v>
      </c>
      <c r="J850" t="s">
        <v>30</v>
      </c>
      <c r="K850" s="45" t="s">
        <v>35</v>
      </c>
      <c r="L850">
        <f t="shared" ref="L850:L864" si="274">G850+K850</f>
        <v>2004</v>
      </c>
      <c r="M850" s="15">
        <f t="shared" ref="M850:M864" si="275">+L850+(H850/12)</f>
        <v>2004.5</v>
      </c>
      <c r="N850" s="5">
        <v>4626</v>
      </c>
      <c r="O850" s="5">
        <f t="shared" ref="O850:O864" si="276">N850-N850*I850</f>
        <v>4626</v>
      </c>
      <c r="P850" s="5">
        <f t="shared" ref="P850:P864" si="277">O850/K850/12</f>
        <v>38.550000000000004</v>
      </c>
      <c r="Q850" s="5">
        <f t="shared" ref="Q850:Q864" si="278">P850*12</f>
        <v>462.6</v>
      </c>
      <c r="R850" s="5">
        <f t="shared" ref="R850:R864" si="279">+IF(M850&lt;=$O$5,0,IF(L850&gt;$O$4,Q850,(P850*H850)))</f>
        <v>0</v>
      </c>
      <c r="S850" s="5">
        <f t="shared" ref="S850:S864" si="280">+IF(R850=0,N850,IF($O$3-G850&lt;1,0,(($O$3-G850)*Q850)))</f>
        <v>4626</v>
      </c>
      <c r="T850" s="5">
        <f t="shared" ref="T850:T864" si="281">+IF(R850=0,S850,S850+R850)</f>
        <v>4626</v>
      </c>
      <c r="U850" s="5">
        <f t="shared" ref="U850:U864" si="282">+N850-T850</f>
        <v>0</v>
      </c>
    </row>
    <row r="851" spans="2:21">
      <c r="B851" s="12">
        <v>25</v>
      </c>
      <c r="C851" t="s">
        <v>230</v>
      </c>
      <c r="G851">
        <v>1994</v>
      </c>
      <c r="H851">
        <v>5</v>
      </c>
      <c r="I851">
        <v>0</v>
      </c>
      <c r="J851" t="s">
        <v>30</v>
      </c>
      <c r="K851" s="45" t="s">
        <v>35</v>
      </c>
      <c r="L851">
        <f t="shared" si="274"/>
        <v>2004</v>
      </c>
      <c r="M851" s="15">
        <f t="shared" si="275"/>
        <v>2004.4166666666667</v>
      </c>
      <c r="N851" s="5">
        <v>7709</v>
      </c>
      <c r="O851" s="5">
        <f t="shared" si="276"/>
        <v>7709</v>
      </c>
      <c r="P851" s="5">
        <f t="shared" si="277"/>
        <v>64.24166666666666</v>
      </c>
      <c r="Q851" s="5">
        <f t="shared" si="278"/>
        <v>770.89999999999986</v>
      </c>
      <c r="R851" s="5">
        <f t="shared" si="279"/>
        <v>0</v>
      </c>
      <c r="S851" s="5">
        <f t="shared" si="280"/>
        <v>7709</v>
      </c>
      <c r="T851" s="5">
        <f t="shared" si="281"/>
        <v>7709</v>
      </c>
      <c r="U851" s="5">
        <f t="shared" si="282"/>
        <v>0</v>
      </c>
    </row>
    <row r="852" spans="2:21">
      <c r="B852" s="12">
        <v>12</v>
      </c>
      <c r="C852" t="s">
        <v>231</v>
      </c>
      <c r="G852">
        <v>1994</v>
      </c>
      <c r="H852">
        <v>4</v>
      </c>
      <c r="I852">
        <v>0</v>
      </c>
      <c r="J852" t="s">
        <v>30</v>
      </c>
      <c r="K852" s="45" t="s">
        <v>35</v>
      </c>
      <c r="L852">
        <f t="shared" si="274"/>
        <v>2004</v>
      </c>
      <c r="M852" s="15">
        <f t="shared" si="275"/>
        <v>2004.3333333333333</v>
      </c>
      <c r="N852" s="5">
        <v>3700</v>
      </c>
      <c r="O852" s="5">
        <f t="shared" si="276"/>
        <v>3700</v>
      </c>
      <c r="P852" s="5">
        <f t="shared" si="277"/>
        <v>30.833333333333332</v>
      </c>
      <c r="Q852" s="5">
        <f t="shared" si="278"/>
        <v>370</v>
      </c>
      <c r="R852" s="5">
        <f t="shared" si="279"/>
        <v>0</v>
      </c>
      <c r="S852" s="5">
        <f t="shared" si="280"/>
        <v>3700</v>
      </c>
      <c r="T852" s="5">
        <f t="shared" si="281"/>
        <v>3700</v>
      </c>
      <c r="U852" s="5">
        <f t="shared" si="282"/>
        <v>0</v>
      </c>
    </row>
    <row r="853" spans="2:21">
      <c r="B853" s="12">
        <v>20</v>
      </c>
      <c r="C853" t="s">
        <v>231</v>
      </c>
      <c r="G853">
        <v>1995</v>
      </c>
      <c r="H853">
        <v>9</v>
      </c>
      <c r="I853">
        <v>0</v>
      </c>
      <c r="J853" t="s">
        <v>30</v>
      </c>
      <c r="K853" s="45" t="s">
        <v>35</v>
      </c>
      <c r="L853">
        <f t="shared" si="274"/>
        <v>2005</v>
      </c>
      <c r="M853" s="15">
        <f t="shared" si="275"/>
        <v>2005.75</v>
      </c>
      <c r="N853" s="5">
        <v>6059</v>
      </c>
      <c r="O853" s="5">
        <f t="shared" si="276"/>
        <v>6059</v>
      </c>
      <c r="P853" s="5">
        <f t="shared" si="277"/>
        <v>50.491666666666667</v>
      </c>
      <c r="Q853" s="5">
        <f t="shared" si="278"/>
        <v>605.9</v>
      </c>
      <c r="R853" s="5">
        <f t="shared" si="279"/>
        <v>0</v>
      </c>
      <c r="S853" s="5">
        <f t="shared" si="280"/>
        <v>6059</v>
      </c>
      <c r="T853" s="5">
        <f t="shared" si="281"/>
        <v>6059</v>
      </c>
      <c r="U853" s="5">
        <f t="shared" si="282"/>
        <v>0</v>
      </c>
    </row>
    <row r="854" spans="2:21">
      <c r="B854" s="12">
        <v>24</v>
      </c>
      <c r="C854" t="s">
        <v>231</v>
      </c>
      <c r="G854">
        <v>1994</v>
      </c>
      <c r="H854">
        <v>5</v>
      </c>
      <c r="I854">
        <v>0</v>
      </c>
      <c r="J854" t="s">
        <v>30</v>
      </c>
      <c r="K854" s="45" t="s">
        <v>35</v>
      </c>
      <c r="L854">
        <f t="shared" si="274"/>
        <v>2004</v>
      </c>
      <c r="M854" s="15">
        <f t="shared" si="275"/>
        <v>2004.4166666666667</v>
      </c>
      <c r="N854" s="5">
        <v>6694</v>
      </c>
      <c r="O854" s="5">
        <f t="shared" si="276"/>
        <v>6694</v>
      </c>
      <c r="P854" s="5">
        <f t="shared" si="277"/>
        <v>55.783333333333331</v>
      </c>
      <c r="Q854" s="5">
        <f t="shared" si="278"/>
        <v>669.4</v>
      </c>
      <c r="R854" s="5">
        <f t="shared" si="279"/>
        <v>0</v>
      </c>
      <c r="S854" s="5">
        <f t="shared" si="280"/>
        <v>6694</v>
      </c>
      <c r="T854" s="5">
        <f t="shared" si="281"/>
        <v>6694</v>
      </c>
      <c r="U854" s="5">
        <f t="shared" si="282"/>
        <v>0</v>
      </c>
    </row>
    <row r="855" spans="2:21">
      <c r="B855" s="12">
        <v>15</v>
      </c>
      <c r="C855" t="s">
        <v>563</v>
      </c>
      <c r="G855">
        <v>1995</v>
      </c>
      <c r="H855">
        <v>7</v>
      </c>
      <c r="I855">
        <v>0</v>
      </c>
      <c r="J855" t="s">
        <v>30</v>
      </c>
      <c r="K855" s="45" t="s">
        <v>35</v>
      </c>
      <c r="L855">
        <f t="shared" si="274"/>
        <v>2005</v>
      </c>
      <c r="M855" s="15">
        <f t="shared" si="275"/>
        <v>2005.5833333333333</v>
      </c>
      <c r="N855" s="5">
        <v>4950</v>
      </c>
      <c r="O855" s="5">
        <f t="shared" si="276"/>
        <v>4950</v>
      </c>
      <c r="P855" s="5">
        <f t="shared" si="277"/>
        <v>41.25</v>
      </c>
      <c r="Q855" s="5">
        <f t="shared" si="278"/>
        <v>495</v>
      </c>
      <c r="R855" s="5">
        <f t="shared" si="279"/>
        <v>0</v>
      </c>
      <c r="S855" s="5">
        <f t="shared" si="280"/>
        <v>4950</v>
      </c>
      <c r="T855" s="5">
        <f t="shared" si="281"/>
        <v>4950</v>
      </c>
      <c r="U855" s="5">
        <f t="shared" si="282"/>
        <v>0</v>
      </c>
    </row>
    <row r="856" spans="2:21">
      <c r="B856" s="12">
        <v>20</v>
      </c>
      <c r="C856" t="s">
        <v>563</v>
      </c>
      <c r="G856">
        <v>1995</v>
      </c>
      <c r="H856">
        <v>6</v>
      </c>
      <c r="I856">
        <v>0</v>
      </c>
      <c r="J856" t="s">
        <v>30</v>
      </c>
      <c r="K856" s="45" t="s">
        <v>35</v>
      </c>
      <c r="L856">
        <f t="shared" si="274"/>
        <v>2005</v>
      </c>
      <c r="M856" s="15">
        <f t="shared" si="275"/>
        <v>2005.5</v>
      </c>
      <c r="N856" s="5">
        <v>6600</v>
      </c>
      <c r="O856" s="5">
        <f t="shared" si="276"/>
        <v>6600</v>
      </c>
      <c r="P856" s="5">
        <f t="shared" si="277"/>
        <v>55</v>
      </c>
      <c r="Q856" s="5">
        <f t="shared" si="278"/>
        <v>660</v>
      </c>
      <c r="R856" s="5">
        <f t="shared" si="279"/>
        <v>0</v>
      </c>
      <c r="S856" s="5">
        <f t="shared" si="280"/>
        <v>6600</v>
      </c>
      <c r="T856" s="5">
        <f t="shared" si="281"/>
        <v>6600</v>
      </c>
      <c r="U856" s="5">
        <f t="shared" si="282"/>
        <v>0</v>
      </c>
    </row>
    <row r="857" spans="2:21">
      <c r="B857" s="12">
        <v>25</v>
      </c>
      <c r="C857" t="s">
        <v>563</v>
      </c>
      <c r="G857">
        <v>1995</v>
      </c>
      <c r="H857">
        <v>7</v>
      </c>
      <c r="I857">
        <v>0</v>
      </c>
      <c r="J857" t="s">
        <v>30</v>
      </c>
      <c r="K857" s="45" t="s">
        <v>35</v>
      </c>
      <c r="L857">
        <f t="shared" si="274"/>
        <v>2005</v>
      </c>
      <c r="M857" s="15">
        <f t="shared" si="275"/>
        <v>2005.5833333333333</v>
      </c>
      <c r="N857" s="5">
        <v>8250</v>
      </c>
      <c r="O857" s="5">
        <f t="shared" si="276"/>
        <v>8250</v>
      </c>
      <c r="P857" s="5">
        <f t="shared" si="277"/>
        <v>68.75</v>
      </c>
      <c r="Q857" s="5">
        <f t="shared" si="278"/>
        <v>825</v>
      </c>
      <c r="R857" s="5">
        <f t="shared" si="279"/>
        <v>0</v>
      </c>
      <c r="S857" s="5">
        <f t="shared" si="280"/>
        <v>8250</v>
      </c>
      <c r="T857" s="5">
        <f t="shared" si="281"/>
        <v>8250</v>
      </c>
      <c r="U857" s="5">
        <f t="shared" si="282"/>
        <v>0</v>
      </c>
    </row>
    <row r="858" spans="2:21">
      <c r="B858" s="12">
        <v>25</v>
      </c>
      <c r="C858" t="s">
        <v>69</v>
      </c>
      <c r="G858">
        <v>1996</v>
      </c>
      <c r="H858">
        <v>6</v>
      </c>
      <c r="I858">
        <v>0</v>
      </c>
      <c r="J858" t="s">
        <v>30</v>
      </c>
      <c r="K858" s="45" t="s">
        <v>35</v>
      </c>
      <c r="L858">
        <f t="shared" si="274"/>
        <v>2006</v>
      </c>
      <c r="M858" s="15">
        <f t="shared" si="275"/>
        <v>2006.5</v>
      </c>
      <c r="N858" s="5">
        <v>11220</v>
      </c>
      <c r="O858" s="5">
        <f t="shared" si="276"/>
        <v>11220</v>
      </c>
      <c r="P858" s="5">
        <f t="shared" si="277"/>
        <v>93.5</v>
      </c>
      <c r="Q858" s="5">
        <f t="shared" si="278"/>
        <v>1122</v>
      </c>
      <c r="R858" s="5">
        <f t="shared" si="279"/>
        <v>0</v>
      </c>
      <c r="S858" s="5">
        <f t="shared" si="280"/>
        <v>11220</v>
      </c>
      <c r="T858" s="5">
        <f t="shared" si="281"/>
        <v>11220</v>
      </c>
      <c r="U858" s="5">
        <f t="shared" si="282"/>
        <v>0</v>
      </c>
    </row>
    <row r="859" spans="2:21">
      <c r="B859" s="12">
        <v>2</v>
      </c>
      <c r="C859" t="s">
        <v>235</v>
      </c>
      <c r="G859">
        <v>1999</v>
      </c>
      <c r="H859">
        <v>6</v>
      </c>
      <c r="I859">
        <v>0</v>
      </c>
      <c r="J859" t="s">
        <v>30</v>
      </c>
      <c r="K859" s="45" t="s">
        <v>35</v>
      </c>
      <c r="L859">
        <f t="shared" si="274"/>
        <v>2009</v>
      </c>
      <c r="M859" s="15">
        <f t="shared" si="275"/>
        <v>2009.5</v>
      </c>
      <c r="N859" s="5">
        <v>599.85</v>
      </c>
      <c r="O859" s="5">
        <f t="shared" si="276"/>
        <v>599.85</v>
      </c>
      <c r="P859" s="5">
        <f t="shared" si="277"/>
        <v>4.9987500000000002</v>
      </c>
      <c r="Q859" s="5">
        <f t="shared" si="278"/>
        <v>59.984999999999999</v>
      </c>
      <c r="R859" s="5">
        <f t="shared" si="279"/>
        <v>0</v>
      </c>
      <c r="S859" s="5">
        <f t="shared" si="280"/>
        <v>599.85</v>
      </c>
      <c r="T859" s="5">
        <f t="shared" si="281"/>
        <v>599.85</v>
      </c>
      <c r="U859" s="5">
        <f t="shared" si="282"/>
        <v>0</v>
      </c>
    </row>
    <row r="860" spans="2:21">
      <c r="B860" s="12">
        <v>10</v>
      </c>
      <c r="C860" t="s">
        <v>236</v>
      </c>
      <c r="G860">
        <v>1994</v>
      </c>
      <c r="H860">
        <v>1</v>
      </c>
      <c r="I860">
        <v>0</v>
      </c>
      <c r="J860" t="s">
        <v>30</v>
      </c>
      <c r="K860" s="45" t="s">
        <v>35</v>
      </c>
      <c r="L860">
        <f t="shared" si="274"/>
        <v>2004</v>
      </c>
      <c r="M860" s="15">
        <f t="shared" si="275"/>
        <v>2004.0833333333333</v>
      </c>
      <c r="N860" s="5">
        <v>3104</v>
      </c>
      <c r="O860" s="5">
        <f t="shared" si="276"/>
        <v>3104</v>
      </c>
      <c r="P860" s="5">
        <f t="shared" si="277"/>
        <v>25.866666666666664</v>
      </c>
      <c r="Q860" s="5">
        <f t="shared" si="278"/>
        <v>310.39999999999998</v>
      </c>
      <c r="R860" s="5">
        <f t="shared" si="279"/>
        <v>0</v>
      </c>
      <c r="S860" s="5">
        <f t="shared" si="280"/>
        <v>3104</v>
      </c>
      <c r="T860" s="5">
        <f t="shared" si="281"/>
        <v>3104</v>
      </c>
      <c r="U860" s="5">
        <f t="shared" si="282"/>
        <v>0</v>
      </c>
    </row>
    <row r="861" spans="2:21">
      <c r="B861" s="12">
        <v>20</v>
      </c>
      <c r="C861" t="s">
        <v>236</v>
      </c>
      <c r="G861">
        <v>1994</v>
      </c>
      <c r="H861">
        <v>7</v>
      </c>
      <c r="I861">
        <v>0</v>
      </c>
      <c r="J861" t="s">
        <v>30</v>
      </c>
      <c r="K861" s="45" t="s">
        <v>35</v>
      </c>
      <c r="L861">
        <f t="shared" si="274"/>
        <v>2004</v>
      </c>
      <c r="M861" s="15">
        <f t="shared" si="275"/>
        <v>2004.5833333333333</v>
      </c>
      <c r="N861" s="5">
        <v>6167</v>
      </c>
      <c r="O861" s="5">
        <f t="shared" si="276"/>
        <v>6167</v>
      </c>
      <c r="P861" s="5">
        <f t="shared" si="277"/>
        <v>51.391666666666673</v>
      </c>
      <c r="Q861" s="5">
        <f t="shared" si="278"/>
        <v>616.70000000000005</v>
      </c>
      <c r="R861" s="5">
        <f t="shared" si="279"/>
        <v>0</v>
      </c>
      <c r="S861" s="5">
        <f t="shared" si="280"/>
        <v>6167</v>
      </c>
      <c r="T861" s="5">
        <f t="shared" si="281"/>
        <v>6167</v>
      </c>
      <c r="U861" s="5">
        <f t="shared" si="282"/>
        <v>0</v>
      </c>
    </row>
    <row r="862" spans="2:21">
      <c r="B862" s="12">
        <v>15</v>
      </c>
      <c r="C862" t="s">
        <v>237</v>
      </c>
      <c r="G862">
        <v>1994</v>
      </c>
      <c r="H862">
        <v>4</v>
      </c>
      <c r="I862">
        <v>0</v>
      </c>
      <c r="J862" t="s">
        <v>30</v>
      </c>
      <c r="K862" s="45" t="s">
        <v>35</v>
      </c>
      <c r="L862">
        <f t="shared" si="274"/>
        <v>2004</v>
      </c>
      <c r="M862" s="15">
        <f t="shared" si="275"/>
        <v>2004.3333333333333</v>
      </c>
      <c r="N862" s="5">
        <v>4185</v>
      </c>
      <c r="O862" s="5">
        <f t="shared" si="276"/>
        <v>4185</v>
      </c>
      <c r="P862" s="5">
        <f t="shared" si="277"/>
        <v>34.875</v>
      </c>
      <c r="Q862" s="5">
        <f t="shared" si="278"/>
        <v>418.5</v>
      </c>
      <c r="R862" s="5">
        <f t="shared" si="279"/>
        <v>0</v>
      </c>
      <c r="S862" s="5">
        <f t="shared" si="280"/>
        <v>4185</v>
      </c>
      <c r="T862" s="5">
        <f t="shared" si="281"/>
        <v>4185</v>
      </c>
      <c r="U862" s="5">
        <f t="shared" si="282"/>
        <v>0</v>
      </c>
    </row>
    <row r="863" spans="2:21">
      <c r="B863" s="12">
        <v>0</v>
      </c>
      <c r="C863" t="s">
        <v>238</v>
      </c>
      <c r="G863">
        <v>1995</v>
      </c>
      <c r="H863">
        <v>9</v>
      </c>
      <c r="I863">
        <v>0</v>
      </c>
      <c r="J863" t="s">
        <v>30</v>
      </c>
      <c r="K863" s="45" t="s">
        <v>35</v>
      </c>
      <c r="L863">
        <f t="shared" si="274"/>
        <v>2005</v>
      </c>
      <c r="M863" s="15">
        <f t="shared" si="275"/>
        <v>2005.75</v>
      </c>
      <c r="N863" s="5">
        <v>7752</v>
      </c>
      <c r="O863" s="5">
        <f t="shared" si="276"/>
        <v>7752</v>
      </c>
      <c r="P863" s="5">
        <f t="shared" si="277"/>
        <v>64.600000000000009</v>
      </c>
      <c r="Q863" s="5">
        <f t="shared" si="278"/>
        <v>775.2</v>
      </c>
      <c r="R863" s="5">
        <f t="shared" si="279"/>
        <v>0</v>
      </c>
      <c r="S863" s="5">
        <f t="shared" si="280"/>
        <v>7752</v>
      </c>
      <c r="T863" s="5">
        <f t="shared" si="281"/>
        <v>7752</v>
      </c>
      <c r="U863" s="5">
        <f t="shared" si="282"/>
        <v>0</v>
      </c>
    </row>
    <row r="864" spans="2:21">
      <c r="B864" s="12">
        <v>18</v>
      </c>
      <c r="C864" t="s">
        <v>239</v>
      </c>
      <c r="G864">
        <v>1994</v>
      </c>
      <c r="H864">
        <v>10</v>
      </c>
      <c r="I864">
        <v>0</v>
      </c>
      <c r="J864" t="s">
        <v>30</v>
      </c>
      <c r="K864" s="45" t="s">
        <v>35</v>
      </c>
      <c r="L864">
        <f t="shared" si="274"/>
        <v>2004</v>
      </c>
      <c r="M864" s="15">
        <f t="shared" si="275"/>
        <v>2004.8333333333333</v>
      </c>
      <c r="N864" s="5">
        <v>5551</v>
      </c>
      <c r="O864" s="5">
        <f t="shared" si="276"/>
        <v>5551</v>
      </c>
      <c r="P864" s="5">
        <f t="shared" si="277"/>
        <v>46.258333333333333</v>
      </c>
      <c r="Q864" s="5">
        <f t="shared" si="278"/>
        <v>555.1</v>
      </c>
      <c r="R864" s="5">
        <f t="shared" si="279"/>
        <v>0</v>
      </c>
      <c r="S864" s="5">
        <f t="shared" si="280"/>
        <v>5551</v>
      </c>
      <c r="T864" s="5">
        <f t="shared" si="281"/>
        <v>5551</v>
      </c>
      <c r="U864" s="5">
        <f t="shared" si="282"/>
        <v>0</v>
      </c>
    </row>
    <row r="866" spans="2:21">
      <c r="B866">
        <f>SUM(B850:B865)</f>
        <v>246</v>
      </c>
      <c r="C866" t="s">
        <v>1162</v>
      </c>
    </row>
    <row r="868" spans="2:21">
      <c r="B868">
        <v>25</v>
      </c>
      <c r="C868" t="s">
        <v>248</v>
      </c>
      <c r="G868">
        <v>1998</v>
      </c>
      <c r="H868">
        <v>7</v>
      </c>
      <c r="I868">
        <v>0</v>
      </c>
      <c r="J868" t="s">
        <v>30</v>
      </c>
      <c r="K868" s="45" t="s">
        <v>35</v>
      </c>
      <c r="L868">
        <f>G868+K868</f>
        <v>2008</v>
      </c>
      <c r="M868" s="15">
        <f>+L868+(H868/12)</f>
        <v>2008.5833333333333</v>
      </c>
      <c r="N868" s="5">
        <v>10181.25</v>
      </c>
      <c r="O868" s="5">
        <f>N868-N868*I868</f>
        <v>10181.25</v>
      </c>
      <c r="P868" s="5">
        <f>O868/K868/12</f>
        <v>84.84375</v>
      </c>
      <c r="Q868" s="5">
        <f>P868*12</f>
        <v>1018.125</v>
      </c>
      <c r="R868" s="5">
        <f>+IF(M868&lt;=$O$5,0,IF(L868&gt;$O$4,Q868,(P868*H868)))</f>
        <v>0</v>
      </c>
      <c r="S868" s="5">
        <f>+IF(R868=0,N868,IF($O$3-G868&lt;1,0,(($O$3-G868)*Q868)))</f>
        <v>10181.25</v>
      </c>
      <c r="T868" s="5">
        <f>+IF(R868=0,S868,S868+R868)</f>
        <v>10181.25</v>
      </c>
      <c r="U868" s="5">
        <f>+N868-T868</f>
        <v>0</v>
      </c>
    </row>
    <row r="869" spans="2:21">
      <c r="B869">
        <v>60</v>
      </c>
      <c r="C869" t="s">
        <v>248</v>
      </c>
      <c r="G869">
        <v>1998</v>
      </c>
      <c r="H869">
        <v>5</v>
      </c>
      <c r="I869">
        <v>0</v>
      </c>
      <c r="J869" t="s">
        <v>30</v>
      </c>
      <c r="K869" s="45" t="s">
        <v>35</v>
      </c>
      <c r="L869">
        <f>G869+K869</f>
        <v>2008</v>
      </c>
      <c r="M869" s="15">
        <f>+L869+(H869/12)</f>
        <v>2008.4166666666667</v>
      </c>
      <c r="N869" s="5">
        <v>20851.2</v>
      </c>
      <c r="O869" s="5">
        <f>N869-N869*I869</f>
        <v>20851.2</v>
      </c>
      <c r="P869" s="5">
        <f>O869/K869/12</f>
        <v>173.76</v>
      </c>
      <c r="Q869" s="5">
        <f>P869*12</f>
        <v>2085.12</v>
      </c>
      <c r="R869" s="5">
        <f>+IF(M869&lt;=$O$5,0,IF(L869&gt;$O$4,Q869,(P869*H869)))</f>
        <v>0</v>
      </c>
      <c r="S869" s="5">
        <f>+IF(R869=0,N869,IF($O$3-G869&lt;1,0,(($O$3-G869)*Q869)))</f>
        <v>20851.2</v>
      </c>
      <c r="T869" s="5">
        <f>+IF(R869=0,S869,S869+R869)</f>
        <v>20851.2</v>
      </c>
      <c r="U869" s="5">
        <f>+N869-T869</f>
        <v>0</v>
      </c>
    </row>
    <row r="871" spans="2:21">
      <c r="B871">
        <f>SUM(B868:B870)</f>
        <v>85</v>
      </c>
      <c r="C871" s="2" t="s">
        <v>1163</v>
      </c>
    </row>
    <row r="873" spans="2:21">
      <c r="B873" s="12">
        <v>5</v>
      </c>
      <c r="C873" t="s">
        <v>260</v>
      </c>
      <c r="G873">
        <v>1997</v>
      </c>
      <c r="H873">
        <v>12</v>
      </c>
      <c r="I873">
        <v>0</v>
      </c>
      <c r="J873" t="s">
        <v>30</v>
      </c>
      <c r="K873" s="45" t="s">
        <v>35</v>
      </c>
      <c r="L873">
        <f t="shared" ref="L873:L897" si="283">G873+K873</f>
        <v>2007</v>
      </c>
      <c r="M873" s="15">
        <f t="shared" ref="M873:M897" si="284">+L873+(H873/12)</f>
        <v>2008</v>
      </c>
      <c r="N873" s="5">
        <v>2144.85</v>
      </c>
      <c r="O873" s="5">
        <f t="shared" ref="O873:O897" si="285">N873-N873*I873</f>
        <v>2144.85</v>
      </c>
      <c r="P873" s="5">
        <f t="shared" ref="P873:P897" si="286">O873/K873/12</f>
        <v>17.873749999999998</v>
      </c>
      <c r="Q873" s="5">
        <f t="shared" ref="Q873:Q897" si="287">P873*12</f>
        <v>214.48499999999996</v>
      </c>
      <c r="R873" s="5">
        <f t="shared" ref="R873:R897" si="288">+IF(M873&lt;=$O$5,0,IF(L873&gt;$O$4,Q873,(P873*H873)))</f>
        <v>0</v>
      </c>
      <c r="S873" s="5">
        <f t="shared" ref="S873:S897" si="289">+IF(R873=0,N873,IF($O$3-G873&lt;1,0,(($O$3-G873)*Q873)))</f>
        <v>2144.85</v>
      </c>
      <c r="T873" s="5">
        <f t="shared" ref="T873:T897" si="290">+IF(R873=0,S873,S873+R873)</f>
        <v>2144.85</v>
      </c>
      <c r="U873" s="5">
        <f t="shared" ref="U873:U897" si="291">+N873-T873</f>
        <v>0</v>
      </c>
    </row>
    <row r="874" spans="2:21">
      <c r="B874" s="12">
        <v>5</v>
      </c>
      <c r="C874" t="s">
        <v>260</v>
      </c>
      <c r="G874">
        <v>1997</v>
      </c>
      <c r="H874">
        <v>12</v>
      </c>
      <c r="I874">
        <v>0</v>
      </c>
      <c r="J874" t="s">
        <v>30</v>
      </c>
      <c r="K874" s="45" t="s">
        <v>35</v>
      </c>
      <c r="L874">
        <f t="shared" si="283"/>
        <v>2007</v>
      </c>
      <c r="M874" s="15">
        <f t="shared" si="284"/>
        <v>2008</v>
      </c>
      <c r="N874" s="5">
        <v>2286.0300000000002</v>
      </c>
      <c r="O874" s="5">
        <f t="shared" si="285"/>
        <v>2286.0300000000002</v>
      </c>
      <c r="P874" s="5">
        <f t="shared" si="286"/>
        <v>19.050250000000002</v>
      </c>
      <c r="Q874" s="5">
        <f t="shared" si="287"/>
        <v>228.60300000000001</v>
      </c>
      <c r="R874" s="5">
        <f t="shared" si="288"/>
        <v>0</v>
      </c>
      <c r="S874" s="5">
        <f t="shared" si="289"/>
        <v>2286.0300000000002</v>
      </c>
      <c r="T874" s="5">
        <f t="shared" si="290"/>
        <v>2286.0300000000002</v>
      </c>
      <c r="U874" s="5">
        <f t="shared" si="291"/>
        <v>0</v>
      </c>
    </row>
    <row r="875" spans="2:21">
      <c r="B875" s="12">
        <v>12</v>
      </c>
      <c r="C875" t="s">
        <v>260</v>
      </c>
      <c r="G875">
        <v>1997</v>
      </c>
      <c r="H875">
        <v>10</v>
      </c>
      <c r="I875">
        <v>0</v>
      </c>
      <c r="J875" t="s">
        <v>30</v>
      </c>
      <c r="K875" s="45" t="s">
        <v>35</v>
      </c>
      <c r="L875">
        <f t="shared" si="283"/>
        <v>2007</v>
      </c>
      <c r="M875" s="15">
        <f t="shared" si="284"/>
        <v>2007.8333333333333</v>
      </c>
      <c r="N875" s="5">
        <v>5108.54</v>
      </c>
      <c r="O875" s="5">
        <f t="shared" si="285"/>
        <v>5108.54</v>
      </c>
      <c r="P875" s="5">
        <f t="shared" si="286"/>
        <v>42.571166666666663</v>
      </c>
      <c r="Q875" s="5">
        <f t="shared" si="287"/>
        <v>510.85399999999993</v>
      </c>
      <c r="R875" s="5">
        <f t="shared" si="288"/>
        <v>0</v>
      </c>
      <c r="S875" s="5">
        <f t="shared" si="289"/>
        <v>5108.54</v>
      </c>
      <c r="T875" s="5">
        <f t="shared" si="290"/>
        <v>5108.54</v>
      </c>
      <c r="U875" s="5">
        <f t="shared" si="291"/>
        <v>0</v>
      </c>
    </row>
    <row r="876" spans="2:21">
      <c r="B876" s="12">
        <v>15</v>
      </c>
      <c r="C876" t="s">
        <v>260</v>
      </c>
      <c r="G876">
        <v>1997</v>
      </c>
      <c r="H876">
        <v>8</v>
      </c>
      <c r="I876">
        <v>0</v>
      </c>
      <c r="J876" t="s">
        <v>30</v>
      </c>
      <c r="K876" s="45" t="s">
        <v>35</v>
      </c>
      <c r="L876">
        <f t="shared" si="283"/>
        <v>2007</v>
      </c>
      <c r="M876" s="15">
        <f t="shared" si="284"/>
        <v>2007.6666666666667</v>
      </c>
      <c r="N876" s="5">
        <v>6190.2</v>
      </c>
      <c r="O876" s="5">
        <f t="shared" si="285"/>
        <v>6190.2</v>
      </c>
      <c r="P876" s="5">
        <f t="shared" si="286"/>
        <v>51.585000000000001</v>
      </c>
      <c r="Q876" s="5">
        <f t="shared" si="287"/>
        <v>619.02</v>
      </c>
      <c r="R876" s="5">
        <f t="shared" si="288"/>
        <v>0</v>
      </c>
      <c r="S876" s="5">
        <f t="shared" si="289"/>
        <v>6190.2</v>
      </c>
      <c r="T876" s="5">
        <f t="shared" si="290"/>
        <v>6190.2</v>
      </c>
      <c r="U876" s="5">
        <f t="shared" si="291"/>
        <v>0</v>
      </c>
    </row>
    <row r="877" spans="2:21">
      <c r="B877" s="12">
        <v>5</v>
      </c>
      <c r="C877" t="s">
        <v>261</v>
      </c>
      <c r="G877">
        <v>1996</v>
      </c>
      <c r="H877">
        <v>7</v>
      </c>
      <c r="I877">
        <v>0</v>
      </c>
      <c r="J877" t="s">
        <v>30</v>
      </c>
      <c r="K877" s="45" t="s">
        <v>35</v>
      </c>
      <c r="L877">
        <f t="shared" si="283"/>
        <v>2006</v>
      </c>
      <c r="M877" s="15">
        <f t="shared" si="284"/>
        <v>2006.5833333333333</v>
      </c>
      <c r="N877" s="5">
        <v>2055</v>
      </c>
      <c r="O877" s="5">
        <f t="shared" si="285"/>
        <v>2055</v>
      </c>
      <c r="P877" s="5">
        <f t="shared" si="286"/>
        <v>17.125</v>
      </c>
      <c r="Q877" s="5">
        <f t="shared" si="287"/>
        <v>205.5</v>
      </c>
      <c r="R877" s="5">
        <f t="shared" si="288"/>
        <v>0</v>
      </c>
      <c r="S877" s="5">
        <f t="shared" si="289"/>
        <v>2055</v>
      </c>
      <c r="T877" s="5">
        <f t="shared" si="290"/>
        <v>2055</v>
      </c>
      <c r="U877" s="5">
        <f t="shared" si="291"/>
        <v>0</v>
      </c>
    </row>
    <row r="878" spans="2:21">
      <c r="B878" s="12">
        <v>5</v>
      </c>
      <c r="C878" t="s">
        <v>261</v>
      </c>
      <c r="G878">
        <v>1996</v>
      </c>
      <c r="H878">
        <v>7</v>
      </c>
      <c r="I878">
        <v>0</v>
      </c>
      <c r="J878" t="s">
        <v>30</v>
      </c>
      <c r="K878" s="45" t="s">
        <v>35</v>
      </c>
      <c r="L878">
        <f t="shared" si="283"/>
        <v>2006</v>
      </c>
      <c r="M878" s="15">
        <f t="shared" si="284"/>
        <v>2006.5833333333333</v>
      </c>
      <c r="N878" s="5">
        <v>2186</v>
      </c>
      <c r="O878" s="5">
        <f t="shared" si="285"/>
        <v>2186</v>
      </c>
      <c r="P878" s="5">
        <f t="shared" si="286"/>
        <v>18.216666666666665</v>
      </c>
      <c r="Q878" s="5">
        <f t="shared" si="287"/>
        <v>218.59999999999997</v>
      </c>
      <c r="R878" s="5">
        <f t="shared" si="288"/>
        <v>0</v>
      </c>
      <c r="S878" s="5">
        <f t="shared" si="289"/>
        <v>2186</v>
      </c>
      <c r="T878" s="5">
        <f t="shared" si="290"/>
        <v>2186</v>
      </c>
      <c r="U878" s="5">
        <f t="shared" si="291"/>
        <v>0</v>
      </c>
    </row>
    <row r="879" spans="2:21">
      <c r="B879" s="12">
        <v>10</v>
      </c>
      <c r="C879" t="s">
        <v>261</v>
      </c>
      <c r="G879">
        <v>1996</v>
      </c>
      <c r="H879">
        <v>9</v>
      </c>
      <c r="I879">
        <v>0</v>
      </c>
      <c r="J879" t="s">
        <v>30</v>
      </c>
      <c r="K879" s="45" t="s">
        <v>35</v>
      </c>
      <c r="L879">
        <f t="shared" si="283"/>
        <v>2006</v>
      </c>
      <c r="M879" s="15">
        <f t="shared" si="284"/>
        <v>2006.75</v>
      </c>
      <c r="N879" s="5">
        <v>4155</v>
      </c>
      <c r="O879" s="5">
        <f t="shared" si="285"/>
        <v>4155</v>
      </c>
      <c r="P879" s="5">
        <f t="shared" si="286"/>
        <v>34.625</v>
      </c>
      <c r="Q879" s="5">
        <f t="shared" si="287"/>
        <v>415.5</v>
      </c>
      <c r="R879" s="5">
        <f t="shared" si="288"/>
        <v>0</v>
      </c>
      <c r="S879" s="5">
        <f t="shared" si="289"/>
        <v>4155</v>
      </c>
      <c r="T879" s="5">
        <f t="shared" si="290"/>
        <v>4155</v>
      </c>
      <c r="U879" s="5">
        <f t="shared" si="291"/>
        <v>0</v>
      </c>
    </row>
    <row r="880" spans="2:21">
      <c r="B880" s="12">
        <v>11</v>
      </c>
      <c r="C880" t="s">
        <v>262</v>
      </c>
      <c r="G880">
        <v>1994</v>
      </c>
      <c r="H880">
        <v>8</v>
      </c>
      <c r="I880">
        <v>0</v>
      </c>
      <c r="J880" t="s">
        <v>30</v>
      </c>
      <c r="K880" s="45" t="s">
        <v>35</v>
      </c>
      <c r="L880">
        <f t="shared" si="283"/>
        <v>2004</v>
      </c>
      <c r="M880" s="15">
        <f t="shared" si="284"/>
        <v>2004.6666666666667</v>
      </c>
      <c r="N880" s="5">
        <v>4003</v>
      </c>
      <c r="O880" s="5">
        <f t="shared" si="285"/>
        <v>4003</v>
      </c>
      <c r="P880" s="5">
        <f t="shared" si="286"/>
        <v>33.358333333333334</v>
      </c>
      <c r="Q880" s="5">
        <f t="shared" si="287"/>
        <v>400.3</v>
      </c>
      <c r="R880" s="5">
        <f t="shared" si="288"/>
        <v>0</v>
      </c>
      <c r="S880" s="5">
        <f t="shared" si="289"/>
        <v>4003</v>
      </c>
      <c r="T880" s="5">
        <f t="shared" si="290"/>
        <v>4003</v>
      </c>
      <c r="U880" s="5">
        <f t="shared" si="291"/>
        <v>0</v>
      </c>
    </row>
    <row r="881" spans="2:21">
      <c r="B881" s="12">
        <v>5</v>
      </c>
      <c r="C881" t="s">
        <v>95</v>
      </c>
      <c r="G881">
        <v>1998</v>
      </c>
      <c r="H881">
        <v>9</v>
      </c>
      <c r="I881">
        <v>0</v>
      </c>
      <c r="J881" t="s">
        <v>30</v>
      </c>
      <c r="K881" s="45" t="s">
        <v>35</v>
      </c>
      <c r="L881">
        <f t="shared" si="283"/>
        <v>2008</v>
      </c>
      <c r="M881" s="15">
        <f t="shared" si="284"/>
        <v>2008.75</v>
      </c>
      <c r="N881" s="5">
        <v>2144.85</v>
      </c>
      <c r="O881" s="5">
        <f t="shared" si="285"/>
        <v>2144.85</v>
      </c>
      <c r="P881" s="5">
        <f t="shared" si="286"/>
        <v>17.873749999999998</v>
      </c>
      <c r="Q881" s="5">
        <f t="shared" si="287"/>
        <v>214.48499999999996</v>
      </c>
      <c r="R881" s="5">
        <f t="shared" si="288"/>
        <v>0</v>
      </c>
      <c r="S881" s="5">
        <f t="shared" si="289"/>
        <v>2144.85</v>
      </c>
      <c r="T881" s="5">
        <f t="shared" si="290"/>
        <v>2144.85</v>
      </c>
      <c r="U881" s="5">
        <f t="shared" si="291"/>
        <v>0</v>
      </c>
    </row>
    <row r="882" spans="2:21">
      <c r="B882" s="12">
        <v>5</v>
      </c>
      <c r="C882" t="s">
        <v>95</v>
      </c>
      <c r="G882">
        <v>1998</v>
      </c>
      <c r="H882">
        <v>9</v>
      </c>
      <c r="I882">
        <v>0</v>
      </c>
      <c r="J882" t="s">
        <v>30</v>
      </c>
      <c r="K882" s="45" t="s">
        <v>35</v>
      </c>
      <c r="L882">
        <f t="shared" si="283"/>
        <v>2008</v>
      </c>
      <c r="M882" s="15">
        <f t="shared" si="284"/>
        <v>2008.75</v>
      </c>
      <c r="N882" s="5">
        <v>2286.0300000000002</v>
      </c>
      <c r="O882" s="5">
        <f t="shared" si="285"/>
        <v>2286.0300000000002</v>
      </c>
      <c r="P882" s="5">
        <f t="shared" si="286"/>
        <v>19.050250000000002</v>
      </c>
      <c r="Q882" s="5">
        <f t="shared" si="287"/>
        <v>228.60300000000001</v>
      </c>
      <c r="R882" s="5">
        <f t="shared" si="288"/>
        <v>0</v>
      </c>
      <c r="S882" s="5">
        <f t="shared" si="289"/>
        <v>2286.0300000000002</v>
      </c>
      <c r="T882" s="5">
        <f t="shared" si="290"/>
        <v>2286.0300000000002</v>
      </c>
      <c r="U882" s="5">
        <f t="shared" si="291"/>
        <v>0</v>
      </c>
    </row>
    <row r="883" spans="2:21">
      <c r="B883" s="12">
        <v>9</v>
      </c>
      <c r="C883" t="s">
        <v>95</v>
      </c>
      <c r="G883">
        <v>1998</v>
      </c>
      <c r="H883">
        <v>6</v>
      </c>
      <c r="I883">
        <v>0</v>
      </c>
      <c r="J883" t="s">
        <v>30</v>
      </c>
      <c r="K883" s="45" t="s">
        <v>35</v>
      </c>
      <c r="L883">
        <f t="shared" si="283"/>
        <v>2008</v>
      </c>
      <c r="M883" s="15">
        <f t="shared" si="284"/>
        <v>2008.5</v>
      </c>
      <c r="N883" s="5">
        <v>4235.3999999999996</v>
      </c>
      <c r="O883" s="5">
        <f t="shared" si="285"/>
        <v>4235.3999999999996</v>
      </c>
      <c r="P883" s="5">
        <f t="shared" si="286"/>
        <v>35.294999999999995</v>
      </c>
      <c r="Q883" s="5">
        <f t="shared" si="287"/>
        <v>423.53999999999996</v>
      </c>
      <c r="R883" s="5">
        <f t="shared" si="288"/>
        <v>0</v>
      </c>
      <c r="S883" s="5">
        <f t="shared" si="289"/>
        <v>4235.3999999999996</v>
      </c>
      <c r="T883" s="5">
        <f t="shared" si="290"/>
        <v>4235.3999999999996</v>
      </c>
      <c r="U883" s="5">
        <f t="shared" si="291"/>
        <v>0</v>
      </c>
    </row>
    <row r="884" spans="2:21">
      <c r="B884" s="12">
        <v>6</v>
      </c>
      <c r="C884" t="s">
        <v>94</v>
      </c>
      <c r="G884">
        <v>2001</v>
      </c>
      <c r="H884">
        <v>2</v>
      </c>
      <c r="I884">
        <v>0</v>
      </c>
      <c r="J884" t="s">
        <v>30</v>
      </c>
      <c r="K884" s="45" t="s">
        <v>35</v>
      </c>
      <c r="L884">
        <f t="shared" si="283"/>
        <v>2011</v>
      </c>
      <c r="M884" s="15">
        <f t="shared" si="284"/>
        <v>2011.1666666666667</v>
      </c>
      <c r="N884" s="5">
        <v>2253.4499999999998</v>
      </c>
      <c r="O884" s="5">
        <f t="shared" si="285"/>
        <v>2253.4499999999998</v>
      </c>
      <c r="P884" s="5">
        <f t="shared" si="286"/>
        <v>18.778749999999999</v>
      </c>
      <c r="Q884" s="5">
        <f t="shared" si="287"/>
        <v>225.34499999999997</v>
      </c>
      <c r="R884" s="5">
        <f t="shared" si="288"/>
        <v>0</v>
      </c>
      <c r="S884" s="5">
        <f t="shared" si="289"/>
        <v>2253.4499999999998</v>
      </c>
      <c r="T884" s="5">
        <f t="shared" si="290"/>
        <v>2253.4499999999998</v>
      </c>
      <c r="U884" s="5">
        <f t="shared" si="291"/>
        <v>0</v>
      </c>
    </row>
    <row r="885" spans="2:21">
      <c r="B885" s="12">
        <v>6</v>
      </c>
      <c r="C885" t="s">
        <v>94</v>
      </c>
      <c r="G885">
        <v>2001</v>
      </c>
      <c r="H885">
        <v>3</v>
      </c>
      <c r="I885">
        <v>0</v>
      </c>
      <c r="J885" t="s">
        <v>30</v>
      </c>
      <c r="K885" s="45" t="s">
        <v>35</v>
      </c>
      <c r="L885">
        <f t="shared" si="283"/>
        <v>2011</v>
      </c>
      <c r="M885" s="15">
        <f t="shared" si="284"/>
        <v>2011.25</v>
      </c>
      <c r="N885" s="5">
        <v>2253.4499999999998</v>
      </c>
      <c r="O885" s="5">
        <f t="shared" si="285"/>
        <v>2253.4499999999998</v>
      </c>
      <c r="P885" s="5">
        <f t="shared" si="286"/>
        <v>18.778749999999999</v>
      </c>
      <c r="Q885" s="5">
        <f t="shared" si="287"/>
        <v>225.34499999999997</v>
      </c>
      <c r="R885" s="5">
        <f t="shared" si="288"/>
        <v>0</v>
      </c>
      <c r="S885" s="5">
        <f t="shared" si="289"/>
        <v>2253.4499999999998</v>
      </c>
      <c r="T885" s="5">
        <f t="shared" si="290"/>
        <v>2253.4499999999998</v>
      </c>
      <c r="U885" s="5">
        <f t="shared" si="291"/>
        <v>0</v>
      </c>
    </row>
    <row r="886" spans="2:21">
      <c r="B886" s="12">
        <v>6</v>
      </c>
      <c r="C886" t="s">
        <v>94</v>
      </c>
      <c r="G886">
        <v>2001</v>
      </c>
      <c r="H886">
        <v>6</v>
      </c>
      <c r="I886">
        <v>0</v>
      </c>
      <c r="J886" t="s">
        <v>30</v>
      </c>
      <c r="K886" s="45" t="s">
        <v>35</v>
      </c>
      <c r="L886">
        <f t="shared" si="283"/>
        <v>2011</v>
      </c>
      <c r="M886" s="15">
        <f t="shared" si="284"/>
        <v>2011.5</v>
      </c>
      <c r="N886" s="5">
        <v>2366.4</v>
      </c>
      <c r="O886" s="5">
        <f t="shared" si="285"/>
        <v>2366.4</v>
      </c>
      <c r="P886" s="5">
        <f t="shared" si="286"/>
        <v>19.720000000000002</v>
      </c>
      <c r="Q886" s="5">
        <f t="shared" si="287"/>
        <v>236.64000000000004</v>
      </c>
      <c r="R886" s="5">
        <f t="shared" si="288"/>
        <v>0</v>
      </c>
      <c r="S886" s="5">
        <f t="shared" si="289"/>
        <v>2366.4</v>
      </c>
      <c r="T886" s="5">
        <f t="shared" si="290"/>
        <v>2366.4</v>
      </c>
      <c r="U886" s="5">
        <f t="shared" si="291"/>
        <v>0</v>
      </c>
    </row>
    <row r="887" spans="2:21">
      <c r="B887" s="12">
        <v>6</v>
      </c>
      <c r="C887" t="s">
        <v>94</v>
      </c>
      <c r="G887">
        <v>2000</v>
      </c>
      <c r="H887">
        <v>9</v>
      </c>
      <c r="I887">
        <v>0</v>
      </c>
      <c r="J887" t="s">
        <v>30</v>
      </c>
      <c r="K887" s="45" t="s">
        <v>35</v>
      </c>
      <c r="L887">
        <f t="shared" si="283"/>
        <v>2010</v>
      </c>
      <c r="M887" s="15">
        <f t="shared" si="284"/>
        <v>2010.75</v>
      </c>
      <c r="N887" s="5">
        <v>2394.63</v>
      </c>
      <c r="O887" s="5">
        <f t="shared" si="285"/>
        <v>2394.63</v>
      </c>
      <c r="P887" s="5">
        <f t="shared" si="286"/>
        <v>19.955250000000003</v>
      </c>
      <c r="Q887" s="5">
        <f t="shared" si="287"/>
        <v>239.46300000000002</v>
      </c>
      <c r="R887" s="5">
        <f t="shared" si="288"/>
        <v>0</v>
      </c>
      <c r="S887" s="5">
        <f t="shared" si="289"/>
        <v>2394.63</v>
      </c>
      <c r="T887" s="5">
        <f t="shared" si="290"/>
        <v>2394.63</v>
      </c>
      <c r="U887" s="5">
        <f t="shared" si="291"/>
        <v>0</v>
      </c>
    </row>
    <row r="888" spans="2:21">
      <c r="B888" s="12">
        <v>7</v>
      </c>
      <c r="C888" t="s">
        <v>94</v>
      </c>
      <c r="G888">
        <v>2001</v>
      </c>
      <c r="H888">
        <v>2</v>
      </c>
      <c r="I888">
        <v>0</v>
      </c>
      <c r="J888" t="s">
        <v>30</v>
      </c>
      <c r="K888" s="45" t="s">
        <v>35</v>
      </c>
      <c r="L888">
        <f t="shared" si="283"/>
        <v>2011</v>
      </c>
      <c r="M888" s="15">
        <f t="shared" si="284"/>
        <v>2011.1666666666667</v>
      </c>
      <c r="N888" s="5">
        <v>2459.79</v>
      </c>
      <c r="O888" s="5">
        <f t="shared" si="285"/>
        <v>2459.79</v>
      </c>
      <c r="P888" s="5">
        <f t="shared" si="286"/>
        <v>20.498249999999999</v>
      </c>
      <c r="Q888" s="5">
        <f t="shared" si="287"/>
        <v>245.97899999999998</v>
      </c>
      <c r="R888" s="5">
        <f t="shared" si="288"/>
        <v>0</v>
      </c>
      <c r="S888" s="5">
        <f t="shared" si="289"/>
        <v>2459.79</v>
      </c>
      <c r="T888" s="5">
        <f t="shared" si="290"/>
        <v>2459.79</v>
      </c>
      <c r="U888" s="5">
        <f t="shared" si="291"/>
        <v>0</v>
      </c>
    </row>
    <row r="889" spans="2:21">
      <c r="B889" s="12">
        <v>7</v>
      </c>
      <c r="C889" t="s">
        <v>94</v>
      </c>
      <c r="G889">
        <v>2001</v>
      </c>
      <c r="H889">
        <v>3</v>
      </c>
      <c r="I889">
        <v>0</v>
      </c>
      <c r="J889" t="s">
        <v>30</v>
      </c>
      <c r="K889" s="45" t="s">
        <v>35</v>
      </c>
      <c r="L889">
        <f t="shared" si="283"/>
        <v>2011</v>
      </c>
      <c r="M889" s="15">
        <f t="shared" si="284"/>
        <v>2011.25</v>
      </c>
      <c r="N889" s="5">
        <v>2459.79</v>
      </c>
      <c r="O889" s="5">
        <f t="shared" si="285"/>
        <v>2459.79</v>
      </c>
      <c r="P889" s="5">
        <f t="shared" si="286"/>
        <v>20.498249999999999</v>
      </c>
      <c r="Q889" s="5">
        <f t="shared" si="287"/>
        <v>245.97899999999998</v>
      </c>
      <c r="R889" s="5">
        <f t="shared" si="288"/>
        <v>0</v>
      </c>
      <c r="S889" s="5">
        <f t="shared" si="289"/>
        <v>2459.79</v>
      </c>
      <c r="T889" s="5">
        <f t="shared" si="290"/>
        <v>2459.79</v>
      </c>
      <c r="U889" s="5">
        <f t="shared" si="291"/>
        <v>0</v>
      </c>
    </row>
    <row r="890" spans="2:21">
      <c r="B890" s="12">
        <v>7</v>
      </c>
      <c r="C890" t="s">
        <v>94</v>
      </c>
      <c r="G890">
        <v>2001</v>
      </c>
      <c r="H890">
        <v>6</v>
      </c>
      <c r="I890">
        <v>0</v>
      </c>
      <c r="J890" t="s">
        <v>30</v>
      </c>
      <c r="K890" s="45" t="s">
        <v>35</v>
      </c>
      <c r="L890">
        <f t="shared" si="283"/>
        <v>2011</v>
      </c>
      <c r="M890" s="15">
        <f t="shared" si="284"/>
        <v>2011.5</v>
      </c>
      <c r="N890" s="5">
        <v>2464.3200000000002</v>
      </c>
      <c r="O890" s="5">
        <f t="shared" si="285"/>
        <v>2464.3200000000002</v>
      </c>
      <c r="P890" s="5">
        <f t="shared" si="286"/>
        <v>20.536000000000001</v>
      </c>
      <c r="Q890" s="5">
        <f t="shared" si="287"/>
        <v>246.43200000000002</v>
      </c>
      <c r="R890" s="5">
        <f t="shared" si="288"/>
        <v>0</v>
      </c>
      <c r="S890" s="5">
        <f t="shared" si="289"/>
        <v>2464.3200000000002</v>
      </c>
      <c r="T890" s="5">
        <f t="shared" si="290"/>
        <v>2464.3200000000002</v>
      </c>
      <c r="U890" s="5">
        <f t="shared" si="291"/>
        <v>0</v>
      </c>
    </row>
    <row r="891" spans="2:21">
      <c r="B891" s="12">
        <v>12</v>
      </c>
      <c r="C891" t="s">
        <v>94</v>
      </c>
      <c r="G891">
        <v>2006</v>
      </c>
      <c r="H891">
        <v>9</v>
      </c>
      <c r="I891">
        <v>0</v>
      </c>
      <c r="J891" t="s">
        <v>30</v>
      </c>
      <c r="K891" s="45" t="s">
        <v>35</v>
      </c>
      <c r="L891">
        <f t="shared" si="283"/>
        <v>2016</v>
      </c>
      <c r="M891" s="15">
        <f t="shared" si="284"/>
        <v>2016.75</v>
      </c>
      <c r="N891" s="5">
        <v>4460.8</v>
      </c>
      <c r="O891" s="5">
        <f t="shared" si="285"/>
        <v>4460.8</v>
      </c>
      <c r="P891" s="5">
        <f t="shared" si="286"/>
        <v>37.173333333333339</v>
      </c>
      <c r="Q891" s="5">
        <f t="shared" si="287"/>
        <v>446.08000000000004</v>
      </c>
      <c r="R891" s="5">
        <f t="shared" si="288"/>
        <v>0</v>
      </c>
      <c r="S891" s="5">
        <f t="shared" si="289"/>
        <v>4460.8</v>
      </c>
      <c r="T891" s="5">
        <f t="shared" si="290"/>
        <v>4460.8</v>
      </c>
      <c r="U891" s="5">
        <f t="shared" si="291"/>
        <v>0</v>
      </c>
    </row>
    <row r="892" spans="2:21">
      <c r="B892" s="12">
        <v>13</v>
      </c>
      <c r="C892" t="s">
        <v>94</v>
      </c>
      <c r="G892">
        <v>2005</v>
      </c>
      <c r="H892">
        <v>8</v>
      </c>
      <c r="I892">
        <v>0</v>
      </c>
      <c r="J892" t="s">
        <v>30</v>
      </c>
      <c r="K892" s="45" t="s">
        <v>35</v>
      </c>
      <c r="L892">
        <f t="shared" si="283"/>
        <v>2015</v>
      </c>
      <c r="M892" s="15">
        <f t="shared" si="284"/>
        <v>2015.6666666666667</v>
      </c>
      <c r="N892" s="5">
        <v>5042.45</v>
      </c>
      <c r="O892" s="5">
        <f t="shared" si="285"/>
        <v>5042.45</v>
      </c>
      <c r="P892" s="5">
        <f t="shared" si="286"/>
        <v>42.020416666666669</v>
      </c>
      <c r="Q892" s="5">
        <f t="shared" si="287"/>
        <v>504.245</v>
      </c>
      <c r="R892" s="5">
        <f t="shared" si="288"/>
        <v>0</v>
      </c>
      <c r="S892" s="5">
        <f t="shared" si="289"/>
        <v>5042.45</v>
      </c>
      <c r="T892" s="5">
        <f t="shared" si="290"/>
        <v>5042.45</v>
      </c>
      <c r="U892" s="5">
        <f t="shared" si="291"/>
        <v>0</v>
      </c>
    </row>
    <row r="893" spans="2:21">
      <c r="B893" s="12">
        <v>14</v>
      </c>
      <c r="C893" t="s">
        <v>94</v>
      </c>
      <c r="G893">
        <v>2003</v>
      </c>
      <c r="H893">
        <v>1</v>
      </c>
      <c r="I893">
        <v>0</v>
      </c>
      <c r="J893" t="s">
        <v>30</v>
      </c>
      <c r="K893" s="45" t="s">
        <v>35</v>
      </c>
      <c r="L893">
        <f t="shared" si="283"/>
        <v>2013</v>
      </c>
      <c r="M893" s="15">
        <f t="shared" si="284"/>
        <v>2013.0833333333333</v>
      </c>
      <c r="N893" s="5">
        <v>5255.04</v>
      </c>
      <c r="O893" s="5">
        <f t="shared" si="285"/>
        <v>5255.04</v>
      </c>
      <c r="P893" s="5">
        <f t="shared" si="286"/>
        <v>43.792000000000002</v>
      </c>
      <c r="Q893" s="5">
        <f t="shared" si="287"/>
        <v>525.50400000000002</v>
      </c>
      <c r="R893" s="5">
        <f t="shared" si="288"/>
        <v>0</v>
      </c>
      <c r="S893" s="5">
        <f t="shared" si="289"/>
        <v>5255.04</v>
      </c>
      <c r="T893" s="5">
        <f t="shared" si="290"/>
        <v>5255.04</v>
      </c>
      <c r="U893" s="5">
        <f t="shared" si="291"/>
        <v>0</v>
      </c>
    </row>
    <row r="894" spans="2:21">
      <c r="B894" s="12">
        <v>16</v>
      </c>
      <c r="C894" t="s">
        <v>94</v>
      </c>
      <c r="G894">
        <v>2005</v>
      </c>
      <c r="H894">
        <v>1</v>
      </c>
      <c r="I894">
        <v>0</v>
      </c>
      <c r="J894" t="s">
        <v>30</v>
      </c>
      <c r="K894" s="45" t="s">
        <v>35</v>
      </c>
      <c r="L894">
        <f t="shared" si="283"/>
        <v>2015</v>
      </c>
      <c r="M894" s="15">
        <f t="shared" si="284"/>
        <v>2015.0833333333333</v>
      </c>
      <c r="N894" s="5">
        <v>6005.76</v>
      </c>
      <c r="O894" s="5">
        <f t="shared" si="285"/>
        <v>6005.76</v>
      </c>
      <c r="P894" s="5">
        <f t="shared" si="286"/>
        <v>50.048000000000002</v>
      </c>
      <c r="Q894" s="5">
        <f t="shared" si="287"/>
        <v>600.57600000000002</v>
      </c>
      <c r="R894" s="5">
        <f t="shared" si="288"/>
        <v>0</v>
      </c>
      <c r="S894" s="5">
        <f t="shared" si="289"/>
        <v>6005.76</v>
      </c>
      <c r="T894" s="5">
        <f t="shared" si="290"/>
        <v>6005.76</v>
      </c>
      <c r="U894" s="5">
        <f t="shared" si="291"/>
        <v>0</v>
      </c>
    </row>
    <row r="895" spans="2:21">
      <c r="B895" s="12">
        <v>17</v>
      </c>
      <c r="C895" t="s">
        <v>94</v>
      </c>
      <c r="G895">
        <v>2006</v>
      </c>
      <c r="H895">
        <v>9</v>
      </c>
      <c r="I895">
        <v>0</v>
      </c>
      <c r="J895" t="s">
        <v>30</v>
      </c>
      <c r="K895" s="45" t="s">
        <v>35</v>
      </c>
      <c r="L895">
        <f t="shared" si="283"/>
        <v>2016</v>
      </c>
      <c r="M895" s="15">
        <f t="shared" si="284"/>
        <v>2016.75</v>
      </c>
      <c r="N895" s="5">
        <v>6304.96</v>
      </c>
      <c r="O895" s="5">
        <f t="shared" si="285"/>
        <v>6304.96</v>
      </c>
      <c r="P895" s="5">
        <f t="shared" si="286"/>
        <v>52.541333333333334</v>
      </c>
      <c r="Q895" s="5">
        <f t="shared" si="287"/>
        <v>630.49599999999998</v>
      </c>
      <c r="R895" s="5">
        <f t="shared" si="288"/>
        <v>0</v>
      </c>
      <c r="S895" s="5">
        <f t="shared" si="289"/>
        <v>6304.96</v>
      </c>
      <c r="T895" s="5">
        <f t="shared" si="290"/>
        <v>6304.96</v>
      </c>
      <c r="U895" s="5">
        <f t="shared" si="291"/>
        <v>0</v>
      </c>
    </row>
    <row r="896" spans="2:21">
      <c r="B896" s="12">
        <v>17</v>
      </c>
      <c r="C896" t="s">
        <v>94</v>
      </c>
      <c r="G896">
        <v>2004</v>
      </c>
      <c r="H896">
        <v>10</v>
      </c>
      <c r="I896">
        <v>0</v>
      </c>
      <c r="J896" t="s">
        <v>30</v>
      </c>
      <c r="K896" s="45" t="s">
        <v>35</v>
      </c>
      <c r="L896">
        <f t="shared" si="283"/>
        <v>2014</v>
      </c>
      <c r="M896" s="15">
        <f t="shared" si="284"/>
        <v>2014.8333333333333</v>
      </c>
      <c r="N896" s="5">
        <v>6321.28</v>
      </c>
      <c r="O896" s="5">
        <f t="shared" si="285"/>
        <v>6321.28</v>
      </c>
      <c r="P896" s="5">
        <f t="shared" si="286"/>
        <v>52.67733333333333</v>
      </c>
      <c r="Q896" s="5">
        <f t="shared" si="287"/>
        <v>632.12799999999993</v>
      </c>
      <c r="R896" s="5">
        <f t="shared" si="288"/>
        <v>0</v>
      </c>
      <c r="S896" s="5">
        <f t="shared" si="289"/>
        <v>6321.28</v>
      </c>
      <c r="T896" s="5">
        <f t="shared" si="290"/>
        <v>6321.28</v>
      </c>
      <c r="U896" s="5">
        <f t="shared" si="291"/>
        <v>0</v>
      </c>
    </row>
    <row r="897" spans="2:21">
      <c r="B897" s="12">
        <v>17</v>
      </c>
      <c r="C897" t="s">
        <v>94</v>
      </c>
      <c r="G897">
        <v>2001</v>
      </c>
      <c r="H897">
        <v>3</v>
      </c>
      <c r="I897">
        <v>0</v>
      </c>
      <c r="J897" t="s">
        <v>30</v>
      </c>
      <c r="K897" s="45" t="s">
        <v>35</v>
      </c>
      <c r="L897">
        <f t="shared" si="283"/>
        <v>2011</v>
      </c>
      <c r="M897" s="15">
        <f t="shared" si="284"/>
        <v>2011.25</v>
      </c>
      <c r="N897" s="5">
        <v>6516</v>
      </c>
      <c r="O897" s="5">
        <f t="shared" si="285"/>
        <v>6516</v>
      </c>
      <c r="P897" s="5">
        <f t="shared" si="286"/>
        <v>54.300000000000004</v>
      </c>
      <c r="Q897" s="5">
        <f t="shared" si="287"/>
        <v>651.6</v>
      </c>
      <c r="R897" s="5">
        <f t="shared" si="288"/>
        <v>0</v>
      </c>
      <c r="S897" s="5">
        <f t="shared" si="289"/>
        <v>6516</v>
      </c>
      <c r="T897" s="5">
        <f t="shared" si="290"/>
        <v>6516</v>
      </c>
      <c r="U897" s="5">
        <f t="shared" si="291"/>
        <v>0</v>
      </c>
    </row>
    <row r="899" spans="2:21">
      <c r="B899">
        <f>SUM(B873:B898)</f>
        <v>238</v>
      </c>
      <c r="C899" t="s">
        <v>1164</v>
      </c>
    </row>
    <row r="901" spans="2:21">
      <c r="B901" s="12">
        <v>6</v>
      </c>
      <c r="C901" t="s">
        <v>271</v>
      </c>
      <c r="G901">
        <v>2000</v>
      </c>
      <c r="H901">
        <v>3</v>
      </c>
      <c r="I901">
        <v>0</v>
      </c>
      <c r="J901" t="s">
        <v>30</v>
      </c>
      <c r="K901" s="45" t="s">
        <v>35</v>
      </c>
      <c r="L901">
        <f t="shared" ref="L901:L924" si="292">G901+K901</f>
        <v>2010</v>
      </c>
      <c r="M901" s="15">
        <f t="shared" ref="M901:M924" si="293">+L901+(H901/12)</f>
        <v>2010.25</v>
      </c>
      <c r="N901" s="5">
        <v>2579.25</v>
      </c>
      <c r="O901" s="5">
        <f t="shared" ref="O901:O924" si="294">N901-N901*I901</f>
        <v>2579.25</v>
      </c>
      <c r="P901" s="5">
        <f t="shared" ref="P901:P924" si="295">O901/K901/12</f>
        <v>21.493750000000002</v>
      </c>
      <c r="Q901" s="5">
        <f t="shared" ref="Q901:Q924" si="296">P901*12</f>
        <v>257.92500000000001</v>
      </c>
      <c r="R901" s="5">
        <f t="shared" ref="R901:R924" si="297">+IF(M901&lt;=$O$5,0,IF(L901&gt;$O$4,Q901,(P901*H901)))</f>
        <v>0</v>
      </c>
      <c r="S901" s="5">
        <f t="shared" ref="S901:S924" si="298">+IF(R901=0,N901,IF($O$3-G901&lt;1,0,(($O$3-G901)*Q901)))</f>
        <v>2579.25</v>
      </c>
      <c r="T901" s="5">
        <f t="shared" ref="T901:T924" si="299">+IF(R901=0,S901,S901+R901)</f>
        <v>2579.25</v>
      </c>
      <c r="U901" s="5">
        <f t="shared" ref="U901:U924" si="300">+N901-T901</f>
        <v>0</v>
      </c>
    </row>
    <row r="902" spans="2:21">
      <c r="B902" s="12">
        <v>7</v>
      </c>
      <c r="C902" t="s">
        <v>271</v>
      </c>
      <c r="G902">
        <v>2000</v>
      </c>
      <c r="H902">
        <v>4</v>
      </c>
      <c r="I902">
        <v>0</v>
      </c>
      <c r="J902" t="s">
        <v>30</v>
      </c>
      <c r="K902" s="45" t="s">
        <v>35</v>
      </c>
      <c r="L902">
        <f t="shared" si="292"/>
        <v>2010</v>
      </c>
      <c r="M902" s="15">
        <f t="shared" si="293"/>
        <v>2010.3333333333333</v>
      </c>
      <c r="N902" s="5">
        <v>2780.16</v>
      </c>
      <c r="O902" s="5">
        <f t="shared" si="294"/>
        <v>2780.16</v>
      </c>
      <c r="P902" s="5">
        <f t="shared" si="295"/>
        <v>23.167999999999996</v>
      </c>
      <c r="Q902" s="5">
        <f t="shared" si="296"/>
        <v>278.01599999999996</v>
      </c>
      <c r="R902" s="5">
        <f t="shared" si="297"/>
        <v>0</v>
      </c>
      <c r="S902" s="5">
        <f t="shared" si="298"/>
        <v>2780.16</v>
      </c>
      <c r="T902" s="5">
        <f t="shared" si="299"/>
        <v>2780.16</v>
      </c>
      <c r="U902" s="5">
        <f t="shared" si="300"/>
        <v>0</v>
      </c>
    </row>
    <row r="903" spans="2:21">
      <c r="B903" s="12">
        <v>6</v>
      </c>
      <c r="C903" t="s">
        <v>111</v>
      </c>
      <c r="G903">
        <v>2000</v>
      </c>
      <c r="H903">
        <v>3</v>
      </c>
      <c r="I903">
        <v>0</v>
      </c>
      <c r="J903" t="s">
        <v>30</v>
      </c>
      <c r="K903" s="45" t="s">
        <v>35</v>
      </c>
      <c r="L903">
        <f t="shared" si="292"/>
        <v>2010</v>
      </c>
      <c r="M903" s="15">
        <f t="shared" si="293"/>
        <v>2010.25</v>
      </c>
      <c r="N903" s="5">
        <v>2731.29</v>
      </c>
      <c r="O903" s="5">
        <f t="shared" si="294"/>
        <v>2731.29</v>
      </c>
      <c r="P903" s="5">
        <f t="shared" si="295"/>
        <v>22.760750000000002</v>
      </c>
      <c r="Q903" s="5">
        <f t="shared" si="296"/>
        <v>273.12900000000002</v>
      </c>
      <c r="R903" s="5">
        <f t="shared" si="297"/>
        <v>0</v>
      </c>
      <c r="S903" s="5">
        <f t="shared" si="298"/>
        <v>2731.29</v>
      </c>
      <c r="T903" s="5">
        <f t="shared" si="299"/>
        <v>2731.29</v>
      </c>
      <c r="U903" s="5">
        <f t="shared" si="300"/>
        <v>0</v>
      </c>
    </row>
    <row r="904" spans="2:21">
      <c r="B904" s="12">
        <v>12</v>
      </c>
      <c r="C904" t="s">
        <v>111</v>
      </c>
      <c r="G904">
        <v>2001</v>
      </c>
      <c r="H904">
        <v>7</v>
      </c>
      <c r="I904">
        <v>0</v>
      </c>
      <c r="J904" t="s">
        <v>30</v>
      </c>
      <c r="K904" s="45" t="s">
        <v>35</v>
      </c>
      <c r="L904">
        <f t="shared" si="292"/>
        <v>2011</v>
      </c>
      <c r="M904" s="15">
        <f t="shared" si="293"/>
        <v>2011.5833333333333</v>
      </c>
      <c r="N904" s="5">
        <v>4896</v>
      </c>
      <c r="O904" s="5">
        <f t="shared" si="294"/>
        <v>4896</v>
      </c>
      <c r="P904" s="5">
        <f t="shared" si="295"/>
        <v>40.800000000000004</v>
      </c>
      <c r="Q904" s="5">
        <f t="shared" si="296"/>
        <v>489.6</v>
      </c>
      <c r="R904" s="5">
        <f t="shared" si="297"/>
        <v>0</v>
      </c>
      <c r="S904" s="5">
        <f t="shared" si="298"/>
        <v>4896</v>
      </c>
      <c r="T904" s="5">
        <f t="shared" si="299"/>
        <v>4896</v>
      </c>
      <c r="U904" s="5">
        <f t="shared" si="300"/>
        <v>0</v>
      </c>
    </row>
    <row r="905" spans="2:21">
      <c r="B905" s="12">
        <v>7</v>
      </c>
      <c r="C905" t="s">
        <v>111</v>
      </c>
      <c r="G905">
        <v>2000</v>
      </c>
      <c r="H905">
        <v>4</v>
      </c>
      <c r="I905">
        <v>0</v>
      </c>
      <c r="J905" t="s">
        <v>30</v>
      </c>
      <c r="K905" s="45" t="s">
        <v>35</v>
      </c>
      <c r="L905">
        <f t="shared" si="292"/>
        <v>2010</v>
      </c>
      <c r="M905" s="15">
        <f t="shared" si="293"/>
        <v>2010.3333333333333</v>
      </c>
      <c r="N905" s="5">
        <v>2780.16</v>
      </c>
      <c r="O905" s="5">
        <f t="shared" si="294"/>
        <v>2780.16</v>
      </c>
      <c r="P905" s="5">
        <f t="shared" si="295"/>
        <v>23.167999999999996</v>
      </c>
      <c r="Q905" s="5">
        <f t="shared" si="296"/>
        <v>278.01599999999996</v>
      </c>
      <c r="R905" s="5">
        <f t="shared" si="297"/>
        <v>0</v>
      </c>
      <c r="S905" s="5">
        <f t="shared" si="298"/>
        <v>2780.16</v>
      </c>
      <c r="T905" s="5">
        <f t="shared" si="299"/>
        <v>2780.16</v>
      </c>
      <c r="U905" s="5">
        <f t="shared" si="300"/>
        <v>0</v>
      </c>
    </row>
    <row r="906" spans="2:21">
      <c r="B906" s="12">
        <v>8</v>
      </c>
      <c r="C906" t="s">
        <v>111</v>
      </c>
      <c r="G906">
        <v>2002</v>
      </c>
      <c r="H906">
        <v>7</v>
      </c>
      <c r="I906">
        <v>0</v>
      </c>
      <c r="J906" t="s">
        <v>30</v>
      </c>
      <c r="K906" s="45" t="s">
        <v>35</v>
      </c>
      <c r="L906">
        <f t="shared" si="292"/>
        <v>2012</v>
      </c>
      <c r="M906" s="15">
        <f t="shared" si="293"/>
        <v>2012.5833333333333</v>
      </c>
      <c r="N906" s="5">
        <v>3381.5</v>
      </c>
      <c r="O906" s="5">
        <f t="shared" si="294"/>
        <v>3381.5</v>
      </c>
      <c r="P906" s="5">
        <f t="shared" si="295"/>
        <v>28.179166666666664</v>
      </c>
      <c r="Q906" s="5">
        <f t="shared" si="296"/>
        <v>338.15</v>
      </c>
      <c r="R906" s="5">
        <f t="shared" si="297"/>
        <v>0</v>
      </c>
      <c r="S906" s="5">
        <f t="shared" si="298"/>
        <v>3381.5</v>
      </c>
      <c r="T906" s="5">
        <f t="shared" si="299"/>
        <v>3381.5</v>
      </c>
      <c r="U906" s="5">
        <f t="shared" si="300"/>
        <v>0</v>
      </c>
    </row>
    <row r="907" spans="2:21">
      <c r="B907" s="12">
        <v>18</v>
      </c>
      <c r="C907" t="s">
        <v>111</v>
      </c>
      <c r="G907">
        <v>2001</v>
      </c>
      <c r="H907">
        <v>3</v>
      </c>
      <c r="I907">
        <v>0</v>
      </c>
      <c r="J907" t="s">
        <v>30</v>
      </c>
      <c r="K907" s="45" t="s">
        <v>35</v>
      </c>
      <c r="L907">
        <f t="shared" si="292"/>
        <v>2011</v>
      </c>
      <c r="M907" s="15">
        <f t="shared" si="293"/>
        <v>2011.25</v>
      </c>
      <c r="N907" s="5">
        <v>7330.5</v>
      </c>
      <c r="O907" s="5">
        <f t="shared" si="294"/>
        <v>7330.5</v>
      </c>
      <c r="P907" s="5">
        <f t="shared" si="295"/>
        <v>61.087499999999999</v>
      </c>
      <c r="Q907" s="5">
        <f t="shared" si="296"/>
        <v>733.05</v>
      </c>
      <c r="R907" s="5">
        <f t="shared" si="297"/>
        <v>0</v>
      </c>
      <c r="S907" s="5">
        <f t="shared" si="298"/>
        <v>7330.5</v>
      </c>
      <c r="T907" s="5">
        <f t="shared" si="299"/>
        <v>7330.5</v>
      </c>
      <c r="U907" s="5">
        <f t="shared" si="300"/>
        <v>0</v>
      </c>
    </row>
    <row r="908" spans="2:21">
      <c r="B908" s="12">
        <v>20</v>
      </c>
      <c r="C908" t="s">
        <v>111</v>
      </c>
      <c r="G908">
        <v>2001</v>
      </c>
      <c r="H908">
        <v>3</v>
      </c>
      <c r="I908">
        <v>0</v>
      </c>
      <c r="J908" t="s">
        <v>30</v>
      </c>
      <c r="K908" s="45" t="s">
        <v>35</v>
      </c>
      <c r="L908">
        <f t="shared" si="292"/>
        <v>2011</v>
      </c>
      <c r="M908" s="15">
        <f t="shared" si="293"/>
        <v>2011.25</v>
      </c>
      <c r="N908" s="5">
        <v>8193.8700000000008</v>
      </c>
      <c r="O908" s="5">
        <f t="shared" si="294"/>
        <v>8193.8700000000008</v>
      </c>
      <c r="P908" s="5">
        <f t="shared" si="295"/>
        <v>68.282250000000005</v>
      </c>
      <c r="Q908" s="5">
        <f t="shared" si="296"/>
        <v>819.38700000000006</v>
      </c>
      <c r="R908" s="5">
        <f t="shared" si="297"/>
        <v>0</v>
      </c>
      <c r="S908" s="5">
        <f t="shared" si="298"/>
        <v>8193.8700000000008</v>
      </c>
      <c r="T908" s="5">
        <f t="shared" si="299"/>
        <v>8193.8700000000008</v>
      </c>
      <c r="U908" s="5">
        <f t="shared" si="300"/>
        <v>0</v>
      </c>
    </row>
    <row r="909" spans="2:21">
      <c r="B909" s="12">
        <v>24</v>
      </c>
      <c r="C909" t="s">
        <v>111</v>
      </c>
      <c r="G909">
        <v>2002</v>
      </c>
      <c r="H909">
        <v>5</v>
      </c>
      <c r="I909">
        <v>0</v>
      </c>
      <c r="J909" t="s">
        <v>30</v>
      </c>
      <c r="K909" s="45" t="s">
        <v>35</v>
      </c>
      <c r="L909">
        <f t="shared" si="292"/>
        <v>2012</v>
      </c>
      <c r="M909" s="15">
        <f t="shared" si="293"/>
        <v>2012.4166666666667</v>
      </c>
      <c r="N909" s="5">
        <v>9792</v>
      </c>
      <c r="O909" s="5">
        <f t="shared" si="294"/>
        <v>9792</v>
      </c>
      <c r="P909" s="5">
        <f t="shared" si="295"/>
        <v>81.600000000000009</v>
      </c>
      <c r="Q909" s="5">
        <f t="shared" si="296"/>
        <v>979.2</v>
      </c>
      <c r="R909" s="5">
        <f t="shared" si="297"/>
        <v>0</v>
      </c>
      <c r="S909" s="5">
        <f t="shared" si="298"/>
        <v>9792</v>
      </c>
      <c r="T909" s="5">
        <f t="shared" si="299"/>
        <v>9792</v>
      </c>
      <c r="U909" s="5">
        <f t="shared" si="300"/>
        <v>0</v>
      </c>
    </row>
    <row r="910" spans="2:21">
      <c r="B910" s="12">
        <v>25</v>
      </c>
      <c r="C910" t="s">
        <v>111</v>
      </c>
      <c r="G910">
        <v>2001</v>
      </c>
      <c r="H910">
        <v>6</v>
      </c>
      <c r="I910">
        <v>0</v>
      </c>
      <c r="J910" t="s">
        <v>30</v>
      </c>
      <c r="K910" s="45" t="s">
        <v>35</v>
      </c>
      <c r="L910">
        <f t="shared" si="292"/>
        <v>2011</v>
      </c>
      <c r="M910" s="15">
        <f t="shared" si="293"/>
        <v>2011.5</v>
      </c>
      <c r="N910" s="5">
        <v>10118.4</v>
      </c>
      <c r="O910" s="5">
        <f t="shared" si="294"/>
        <v>10118.4</v>
      </c>
      <c r="P910" s="5">
        <f t="shared" si="295"/>
        <v>84.32</v>
      </c>
      <c r="Q910" s="5">
        <f t="shared" si="296"/>
        <v>1011.8399999999999</v>
      </c>
      <c r="R910" s="5">
        <f t="shared" si="297"/>
        <v>0</v>
      </c>
      <c r="S910" s="5">
        <f t="shared" si="298"/>
        <v>10118.4</v>
      </c>
      <c r="T910" s="5">
        <f t="shared" si="299"/>
        <v>10118.4</v>
      </c>
      <c r="U910" s="5">
        <f t="shared" si="300"/>
        <v>0</v>
      </c>
    </row>
    <row r="911" spans="2:21">
      <c r="B911" s="12">
        <v>25</v>
      </c>
      <c r="C911" t="s">
        <v>111</v>
      </c>
      <c r="G911">
        <v>2000</v>
      </c>
      <c r="H911">
        <v>4</v>
      </c>
      <c r="I911">
        <v>0</v>
      </c>
      <c r="J911" t="s">
        <v>30</v>
      </c>
      <c r="K911" s="45" t="s">
        <v>35</v>
      </c>
      <c r="L911">
        <f t="shared" si="292"/>
        <v>2010</v>
      </c>
      <c r="M911" s="15">
        <f t="shared" si="293"/>
        <v>2010.3333333333333</v>
      </c>
      <c r="N911" s="5">
        <v>10295.280000000001</v>
      </c>
      <c r="O911" s="5">
        <f t="shared" si="294"/>
        <v>10295.280000000001</v>
      </c>
      <c r="P911" s="5">
        <f t="shared" si="295"/>
        <v>85.793999999999997</v>
      </c>
      <c r="Q911" s="5">
        <f t="shared" si="296"/>
        <v>1029.528</v>
      </c>
      <c r="R911" s="5">
        <f t="shared" si="297"/>
        <v>0</v>
      </c>
      <c r="S911" s="5">
        <f t="shared" si="298"/>
        <v>10295.280000000001</v>
      </c>
      <c r="T911" s="5">
        <f t="shared" si="299"/>
        <v>10295.280000000001</v>
      </c>
      <c r="U911" s="5">
        <f t="shared" si="300"/>
        <v>0</v>
      </c>
    </row>
    <row r="912" spans="2:21">
      <c r="B912" s="12">
        <v>26</v>
      </c>
      <c r="C912" t="s">
        <v>111</v>
      </c>
      <c r="G912">
        <v>2001</v>
      </c>
      <c r="H912">
        <v>4</v>
      </c>
      <c r="I912">
        <v>0</v>
      </c>
      <c r="J912" t="s">
        <v>30</v>
      </c>
      <c r="K912" s="45" t="s">
        <v>35</v>
      </c>
      <c r="L912">
        <f t="shared" si="292"/>
        <v>2011</v>
      </c>
      <c r="M912" s="15">
        <f t="shared" si="293"/>
        <v>2011.3333333333333</v>
      </c>
      <c r="N912" s="5">
        <v>10553.6</v>
      </c>
      <c r="O912" s="5">
        <f t="shared" si="294"/>
        <v>10553.6</v>
      </c>
      <c r="P912" s="5">
        <f t="shared" si="295"/>
        <v>87.946666666666673</v>
      </c>
      <c r="Q912" s="5">
        <f t="shared" si="296"/>
        <v>1055.3600000000001</v>
      </c>
      <c r="R912" s="5">
        <f t="shared" si="297"/>
        <v>0</v>
      </c>
      <c r="S912" s="5">
        <f t="shared" si="298"/>
        <v>10553.6</v>
      </c>
      <c r="T912" s="5">
        <f t="shared" si="299"/>
        <v>10553.6</v>
      </c>
      <c r="U912" s="5">
        <f t="shared" si="300"/>
        <v>0</v>
      </c>
    </row>
    <row r="913" spans="2:21">
      <c r="B913" s="12">
        <v>27</v>
      </c>
      <c r="C913" t="s">
        <v>111</v>
      </c>
      <c r="G913">
        <v>2002</v>
      </c>
      <c r="H913">
        <v>8</v>
      </c>
      <c r="I913">
        <v>0</v>
      </c>
      <c r="J913" t="s">
        <v>30</v>
      </c>
      <c r="K913" s="45" t="s">
        <v>35</v>
      </c>
      <c r="L913">
        <f t="shared" si="292"/>
        <v>2012</v>
      </c>
      <c r="M913" s="15">
        <f t="shared" si="293"/>
        <v>2012.6666666666667</v>
      </c>
      <c r="N913" s="5">
        <v>11154.18</v>
      </c>
      <c r="O913" s="5">
        <f t="shared" si="294"/>
        <v>11154.18</v>
      </c>
      <c r="P913" s="5">
        <f t="shared" si="295"/>
        <v>92.95150000000001</v>
      </c>
      <c r="Q913" s="5">
        <f t="shared" si="296"/>
        <v>1115.4180000000001</v>
      </c>
      <c r="R913" s="5">
        <f t="shared" si="297"/>
        <v>0</v>
      </c>
      <c r="S913" s="5">
        <f t="shared" si="298"/>
        <v>11154.18</v>
      </c>
      <c r="T913" s="5">
        <f t="shared" si="299"/>
        <v>11154.18</v>
      </c>
      <c r="U913" s="5">
        <f t="shared" si="300"/>
        <v>0</v>
      </c>
    </row>
    <row r="914" spans="2:21">
      <c r="B914" s="12">
        <v>30</v>
      </c>
      <c r="C914" t="s">
        <v>111</v>
      </c>
      <c r="G914">
        <v>2003</v>
      </c>
      <c r="H914">
        <v>4</v>
      </c>
      <c r="I914">
        <v>0</v>
      </c>
      <c r="J914" t="s">
        <v>30</v>
      </c>
      <c r="K914" s="45" t="s">
        <v>35</v>
      </c>
      <c r="L914">
        <f t="shared" si="292"/>
        <v>2013</v>
      </c>
      <c r="M914" s="15">
        <f t="shared" si="293"/>
        <v>2013.3333333333333</v>
      </c>
      <c r="N914" s="5">
        <v>12120.32</v>
      </c>
      <c r="O914" s="5">
        <f t="shared" si="294"/>
        <v>12120.32</v>
      </c>
      <c r="P914" s="5">
        <f t="shared" si="295"/>
        <v>101.00266666666666</v>
      </c>
      <c r="Q914" s="5">
        <f t="shared" si="296"/>
        <v>1212.0319999999999</v>
      </c>
      <c r="R914" s="5">
        <f t="shared" si="297"/>
        <v>0</v>
      </c>
      <c r="S914" s="5">
        <f t="shared" si="298"/>
        <v>12120.32</v>
      </c>
      <c r="T914" s="5">
        <f t="shared" si="299"/>
        <v>12120.32</v>
      </c>
      <c r="U914" s="5">
        <f t="shared" si="300"/>
        <v>0</v>
      </c>
    </row>
    <row r="915" spans="2:21">
      <c r="B915" s="12">
        <v>8</v>
      </c>
      <c r="C915" t="s">
        <v>272</v>
      </c>
      <c r="G915">
        <v>1997</v>
      </c>
      <c r="H915">
        <v>12</v>
      </c>
      <c r="I915">
        <v>0</v>
      </c>
      <c r="J915" t="s">
        <v>30</v>
      </c>
      <c r="K915" s="45" t="s">
        <v>35</v>
      </c>
      <c r="L915">
        <f t="shared" si="292"/>
        <v>2007</v>
      </c>
      <c r="M915" s="15">
        <f t="shared" si="293"/>
        <v>2008</v>
      </c>
      <c r="N915" s="5">
        <v>3866.16</v>
      </c>
      <c r="O915" s="5">
        <f t="shared" si="294"/>
        <v>3866.16</v>
      </c>
      <c r="P915" s="5">
        <f t="shared" si="295"/>
        <v>32.217999999999996</v>
      </c>
      <c r="Q915" s="5">
        <f t="shared" si="296"/>
        <v>386.61599999999999</v>
      </c>
      <c r="R915" s="5">
        <f t="shared" si="297"/>
        <v>0</v>
      </c>
      <c r="S915" s="5">
        <f t="shared" si="298"/>
        <v>3866.16</v>
      </c>
      <c r="T915" s="5">
        <f t="shared" si="299"/>
        <v>3866.16</v>
      </c>
      <c r="U915" s="5">
        <f t="shared" si="300"/>
        <v>0</v>
      </c>
    </row>
    <row r="916" spans="2:21">
      <c r="B916" s="12">
        <v>10</v>
      </c>
      <c r="C916" t="s">
        <v>272</v>
      </c>
      <c r="G916">
        <v>1997</v>
      </c>
      <c r="H916">
        <v>10</v>
      </c>
      <c r="I916">
        <v>0</v>
      </c>
      <c r="J916" t="s">
        <v>30</v>
      </c>
      <c r="K916" s="45" t="s">
        <v>35</v>
      </c>
      <c r="L916">
        <f t="shared" si="292"/>
        <v>2007</v>
      </c>
      <c r="M916" s="15">
        <f t="shared" si="293"/>
        <v>2007.8333333333333</v>
      </c>
      <c r="N916" s="5">
        <v>4800.12</v>
      </c>
      <c r="O916" s="5">
        <f t="shared" si="294"/>
        <v>4800.12</v>
      </c>
      <c r="P916" s="5">
        <f t="shared" si="295"/>
        <v>40.000999999999998</v>
      </c>
      <c r="Q916" s="5">
        <f t="shared" si="296"/>
        <v>480.01199999999994</v>
      </c>
      <c r="R916" s="5">
        <f t="shared" si="297"/>
        <v>0</v>
      </c>
      <c r="S916" s="5">
        <f t="shared" si="298"/>
        <v>4800.12</v>
      </c>
      <c r="T916" s="5">
        <f t="shared" si="299"/>
        <v>4800.12</v>
      </c>
      <c r="U916" s="5">
        <f t="shared" si="300"/>
        <v>0</v>
      </c>
    </row>
    <row r="917" spans="2:21">
      <c r="B917" s="12">
        <v>15</v>
      </c>
      <c r="C917" t="s">
        <v>272</v>
      </c>
      <c r="G917">
        <v>1997</v>
      </c>
      <c r="H917">
        <v>8</v>
      </c>
      <c r="I917">
        <v>0</v>
      </c>
      <c r="J917" t="s">
        <v>30</v>
      </c>
      <c r="K917" s="45" t="s">
        <v>35</v>
      </c>
      <c r="L917">
        <f t="shared" si="292"/>
        <v>2007</v>
      </c>
      <c r="M917" s="15">
        <f t="shared" si="293"/>
        <v>2007.6666666666667</v>
      </c>
      <c r="N917" s="5">
        <v>7004.7</v>
      </c>
      <c r="O917" s="5">
        <f t="shared" si="294"/>
        <v>7004.7</v>
      </c>
      <c r="P917" s="5">
        <f t="shared" si="295"/>
        <v>58.372500000000002</v>
      </c>
      <c r="Q917" s="5">
        <f t="shared" si="296"/>
        <v>700.47</v>
      </c>
      <c r="R917" s="5">
        <f t="shared" si="297"/>
        <v>0</v>
      </c>
      <c r="S917" s="5">
        <f t="shared" si="298"/>
        <v>7004.7</v>
      </c>
      <c r="T917" s="5">
        <f t="shared" si="299"/>
        <v>7004.7</v>
      </c>
      <c r="U917" s="5">
        <f t="shared" si="300"/>
        <v>0</v>
      </c>
    </row>
    <row r="918" spans="2:21">
      <c r="B918" s="12">
        <v>15</v>
      </c>
      <c r="C918" t="s">
        <v>272</v>
      </c>
      <c r="G918">
        <v>1998</v>
      </c>
      <c r="H918">
        <v>2</v>
      </c>
      <c r="I918">
        <v>0</v>
      </c>
      <c r="J918" t="s">
        <v>30</v>
      </c>
      <c r="K918" s="45" t="s">
        <v>35</v>
      </c>
      <c r="L918">
        <f t="shared" si="292"/>
        <v>2008</v>
      </c>
      <c r="M918" s="15">
        <f t="shared" si="293"/>
        <v>2008.1666666666667</v>
      </c>
      <c r="N918" s="5">
        <v>7200.18</v>
      </c>
      <c r="O918" s="5">
        <f t="shared" si="294"/>
        <v>7200.18</v>
      </c>
      <c r="P918" s="5">
        <f t="shared" si="295"/>
        <v>60.0015</v>
      </c>
      <c r="Q918" s="5">
        <f t="shared" si="296"/>
        <v>720.01800000000003</v>
      </c>
      <c r="R918" s="5">
        <f t="shared" si="297"/>
        <v>0</v>
      </c>
      <c r="S918" s="5">
        <f t="shared" si="298"/>
        <v>7200.18</v>
      </c>
      <c r="T918" s="5">
        <f t="shared" si="299"/>
        <v>7200.18</v>
      </c>
      <c r="U918" s="5">
        <f t="shared" si="300"/>
        <v>0</v>
      </c>
    </row>
    <row r="919" spans="2:21">
      <c r="B919" s="12">
        <v>16</v>
      </c>
      <c r="C919" t="s">
        <v>273</v>
      </c>
      <c r="G919">
        <v>1994</v>
      </c>
      <c r="H919">
        <v>8</v>
      </c>
      <c r="I919">
        <v>0</v>
      </c>
      <c r="J919" t="s">
        <v>30</v>
      </c>
      <c r="K919" s="45" t="s">
        <v>35</v>
      </c>
      <c r="L919">
        <f t="shared" si="292"/>
        <v>2004</v>
      </c>
      <c r="M919" s="15">
        <f t="shared" si="293"/>
        <v>2004.6666666666667</v>
      </c>
      <c r="N919" s="5">
        <v>6654</v>
      </c>
      <c r="O919" s="5">
        <f t="shared" si="294"/>
        <v>6654</v>
      </c>
      <c r="P919" s="5">
        <f t="shared" si="295"/>
        <v>55.449999999999996</v>
      </c>
      <c r="Q919" s="5">
        <f t="shared" si="296"/>
        <v>665.4</v>
      </c>
      <c r="R919" s="5">
        <f t="shared" si="297"/>
        <v>0</v>
      </c>
      <c r="S919" s="5">
        <f t="shared" si="298"/>
        <v>6654</v>
      </c>
      <c r="T919" s="5">
        <f t="shared" si="299"/>
        <v>6654</v>
      </c>
      <c r="U919" s="5">
        <f t="shared" si="300"/>
        <v>0</v>
      </c>
    </row>
    <row r="920" spans="2:21">
      <c r="B920" s="12">
        <v>3</v>
      </c>
      <c r="C920" t="s">
        <v>274</v>
      </c>
      <c r="G920">
        <v>1998</v>
      </c>
      <c r="H920">
        <v>6</v>
      </c>
      <c r="I920">
        <v>0</v>
      </c>
      <c r="J920" t="s">
        <v>30</v>
      </c>
      <c r="K920" s="45" t="s">
        <v>35</v>
      </c>
      <c r="L920">
        <f t="shared" si="292"/>
        <v>2008</v>
      </c>
      <c r="M920" s="15">
        <f t="shared" si="293"/>
        <v>2008.5</v>
      </c>
      <c r="N920" s="5">
        <v>1550.81</v>
      </c>
      <c r="O920" s="5">
        <f t="shared" si="294"/>
        <v>1550.81</v>
      </c>
      <c r="P920" s="5">
        <f t="shared" si="295"/>
        <v>12.923416666666666</v>
      </c>
      <c r="Q920" s="5">
        <f t="shared" si="296"/>
        <v>155.08099999999999</v>
      </c>
      <c r="R920" s="5">
        <f t="shared" si="297"/>
        <v>0</v>
      </c>
      <c r="S920" s="5">
        <f t="shared" si="298"/>
        <v>1550.81</v>
      </c>
      <c r="T920" s="5">
        <f t="shared" si="299"/>
        <v>1550.81</v>
      </c>
      <c r="U920" s="5">
        <f t="shared" si="300"/>
        <v>0</v>
      </c>
    </row>
    <row r="921" spans="2:21">
      <c r="B921" s="12">
        <v>7</v>
      </c>
      <c r="C921" t="s">
        <v>274</v>
      </c>
      <c r="G921">
        <v>1998</v>
      </c>
      <c r="H921">
        <v>6</v>
      </c>
      <c r="I921">
        <v>0</v>
      </c>
      <c r="J921" t="s">
        <v>30</v>
      </c>
      <c r="K921" s="45" t="s">
        <v>35</v>
      </c>
      <c r="L921">
        <f t="shared" si="292"/>
        <v>2008</v>
      </c>
      <c r="M921" s="15">
        <f t="shared" si="293"/>
        <v>2008.5</v>
      </c>
      <c r="N921" s="5">
        <v>3420.9</v>
      </c>
      <c r="O921" s="5">
        <f t="shared" si="294"/>
        <v>3420.9</v>
      </c>
      <c r="P921" s="5">
        <f t="shared" si="295"/>
        <v>28.507500000000004</v>
      </c>
      <c r="Q921" s="5">
        <f t="shared" si="296"/>
        <v>342.09000000000003</v>
      </c>
      <c r="R921" s="5">
        <f t="shared" si="297"/>
        <v>0</v>
      </c>
      <c r="S921" s="5">
        <f t="shared" si="298"/>
        <v>3420.9</v>
      </c>
      <c r="T921" s="5">
        <f t="shared" si="299"/>
        <v>3420.9</v>
      </c>
      <c r="U921" s="5">
        <f t="shared" si="300"/>
        <v>0</v>
      </c>
    </row>
    <row r="922" spans="2:21">
      <c r="B922" s="12">
        <v>3</v>
      </c>
      <c r="C922" t="s">
        <v>275</v>
      </c>
      <c r="G922">
        <v>1997</v>
      </c>
      <c r="H922">
        <v>4</v>
      </c>
      <c r="I922">
        <v>0</v>
      </c>
      <c r="J922" t="s">
        <v>30</v>
      </c>
      <c r="K922" s="45" t="s">
        <v>35</v>
      </c>
      <c r="L922">
        <f t="shared" si="292"/>
        <v>2007</v>
      </c>
      <c r="M922" s="15">
        <f t="shared" si="293"/>
        <v>2007.3333333333333</v>
      </c>
      <c r="N922" s="5">
        <v>2856</v>
      </c>
      <c r="O922" s="5">
        <f t="shared" si="294"/>
        <v>2856</v>
      </c>
      <c r="P922" s="5">
        <f t="shared" si="295"/>
        <v>23.8</v>
      </c>
      <c r="Q922" s="5">
        <f t="shared" si="296"/>
        <v>285.60000000000002</v>
      </c>
      <c r="R922" s="5">
        <f t="shared" si="297"/>
        <v>0</v>
      </c>
      <c r="S922" s="5">
        <f t="shared" si="298"/>
        <v>2856</v>
      </c>
      <c r="T922" s="5">
        <f t="shared" si="299"/>
        <v>2856</v>
      </c>
      <c r="U922" s="5">
        <f t="shared" si="300"/>
        <v>0</v>
      </c>
    </row>
    <row r="923" spans="2:21">
      <c r="B923" s="12">
        <v>2</v>
      </c>
      <c r="C923" t="s">
        <v>276</v>
      </c>
      <c r="G923">
        <v>1997</v>
      </c>
      <c r="H923">
        <v>4</v>
      </c>
      <c r="I923">
        <v>0</v>
      </c>
      <c r="J923" t="s">
        <v>30</v>
      </c>
      <c r="K923" s="45" t="s">
        <v>35</v>
      </c>
      <c r="L923">
        <f t="shared" si="292"/>
        <v>2007</v>
      </c>
      <c r="M923" s="15">
        <f t="shared" si="293"/>
        <v>2007.3333333333333</v>
      </c>
      <c r="N923" s="5">
        <v>1904</v>
      </c>
      <c r="O923" s="5">
        <f t="shared" si="294"/>
        <v>1904</v>
      </c>
      <c r="P923" s="5">
        <f t="shared" si="295"/>
        <v>15.866666666666667</v>
      </c>
      <c r="Q923" s="5">
        <f t="shared" si="296"/>
        <v>190.4</v>
      </c>
      <c r="R923" s="5">
        <f t="shared" si="297"/>
        <v>0</v>
      </c>
      <c r="S923" s="5">
        <f t="shared" si="298"/>
        <v>1904</v>
      </c>
      <c r="T923" s="5">
        <f t="shared" si="299"/>
        <v>1904</v>
      </c>
      <c r="U923" s="5">
        <f t="shared" si="300"/>
        <v>0</v>
      </c>
    </row>
    <row r="924" spans="2:21">
      <c r="B924" s="12">
        <v>10</v>
      </c>
      <c r="C924" t="s">
        <v>274</v>
      </c>
      <c r="G924">
        <v>1998</v>
      </c>
      <c r="H924">
        <v>9</v>
      </c>
      <c r="I924">
        <v>0</v>
      </c>
      <c r="J924" t="s">
        <v>30</v>
      </c>
      <c r="K924" s="45" t="s">
        <v>35</v>
      </c>
      <c r="L924">
        <f t="shared" si="292"/>
        <v>2008</v>
      </c>
      <c r="M924" s="15">
        <f t="shared" si="293"/>
        <v>2008.75</v>
      </c>
      <c r="N924" s="5">
        <v>5082.4799999999996</v>
      </c>
      <c r="O924" s="5">
        <f t="shared" si="294"/>
        <v>5082.4799999999996</v>
      </c>
      <c r="P924" s="5">
        <f t="shared" si="295"/>
        <v>42.353999999999992</v>
      </c>
      <c r="Q924" s="5">
        <f t="shared" si="296"/>
        <v>508.24799999999993</v>
      </c>
      <c r="R924" s="5">
        <f t="shared" si="297"/>
        <v>0</v>
      </c>
      <c r="S924" s="5">
        <f t="shared" si="298"/>
        <v>5082.4799999999996</v>
      </c>
      <c r="T924" s="5">
        <f t="shared" si="299"/>
        <v>5082.4799999999996</v>
      </c>
      <c r="U924" s="5">
        <f t="shared" si="300"/>
        <v>0</v>
      </c>
    </row>
    <row r="926" spans="2:21">
      <c r="B926">
        <f>SUM(B901:B925)</f>
        <v>330</v>
      </c>
      <c r="C926" t="s">
        <v>1165</v>
      </c>
    </row>
    <row r="928" spans="2:21">
      <c r="B928" s="12">
        <v>43</v>
      </c>
      <c r="C928" t="s">
        <v>281</v>
      </c>
      <c r="G928">
        <v>2005</v>
      </c>
      <c r="H928">
        <v>8</v>
      </c>
      <c r="I928">
        <v>0</v>
      </c>
      <c r="J928" t="s">
        <v>30</v>
      </c>
      <c r="K928" s="45" t="s">
        <v>35</v>
      </c>
      <c r="L928">
        <f t="shared" ref="L928:L961" si="301">G928+K928</f>
        <v>2015</v>
      </c>
      <c r="M928" s="15">
        <f t="shared" ref="M928:M961" si="302">+L928+(H928/12)</f>
        <v>2015.6666666666667</v>
      </c>
      <c r="N928" s="5">
        <v>19427.330000000002</v>
      </c>
      <c r="O928" s="5">
        <f t="shared" ref="O928:O961" si="303">N928-N928*I928</f>
        <v>19427.330000000002</v>
      </c>
      <c r="P928" s="5">
        <f t="shared" ref="P928:P961" si="304">O928/K928/12</f>
        <v>161.89441666666667</v>
      </c>
      <c r="Q928" s="5">
        <f t="shared" ref="Q928:Q961" si="305">P928*12</f>
        <v>1942.7330000000002</v>
      </c>
      <c r="R928" s="5">
        <f t="shared" ref="R928:R961" si="306">+IF(M928&lt;=$O$5,0,IF(L928&gt;$O$4,Q928,(P928*H928)))</f>
        <v>0</v>
      </c>
      <c r="S928" s="5">
        <f t="shared" ref="S928:S961" si="307">+IF(R928=0,N928,IF($O$3-G928&lt;1,0,(($O$3-G928)*Q928)))</f>
        <v>19427.330000000002</v>
      </c>
      <c r="T928" s="5">
        <f t="shared" ref="T928:T961" si="308">+IF(R928=0,S928,S928+R928)</f>
        <v>19427.330000000002</v>
      </c>
      <c r="U928" s="5">
        <f t="shared" ref="U928:U961" si="309">+N928-T928</f>
        <v>0</v>
      </c>
    </row>
    <row r="929" spans="2:21">
      <c r="B929" s="12">
        <v>29</v>
      </c>
      <c r="C929" t="s">
        <v>282</v>
      </c>
      <c r="G929">
        <v>2006</v>
      </c>
      <c r="H929">
        <v>7</v>
      </c>
      <c r="I929">
        <v>0</v>
      </c>
      <c r="J929" t="s">
        <v>30</v>
      </c>
      <c r="K929" s="45" t="s">
        <v>35</v>
      </c>
      <c r="L929">
        <f t="shared" si="301"/>
        <v>2016</v>
      </c>
      <c r="M929" s="15">
        <f t="shared" si="302"/>
        <v>2016.5833333333333</v>
      </c>
      <c r="N929" s="5">
        <v>12979.84</v>
      </c>
      <c r="O929" s="5">
        <f t="shared" si="303"/>
        <v>12979.84</v>
      </c>
      <c r="P929" s="5">
        <f t="shared" si="304"/>
        <v>108.16533333333332</v>
      </c>
      <c r="Q929" s="5">
        <f t="shared" si="305"/>
        <v>1297.9839999999999</v>
      </c>
      <c r="R929" s="5">
        <f t="shared" si="306"/>
        <v>0</v>
      </c>
      <c r="S929" s="5">
        <f t="shared" si="307"/>
        <v>12979.84</v>
      </c>
      <c r="T929" s="5">
        <f t="shared" si="308"/>
        <v>12979.84</v>
      </c>
      <c r="U929" s="5">
        <f t="shared" si="309"/>
        <v>0</v>
      </c>
    </row>
    <row r="930" spans="2:21">
      <c r="B930" s="12">
        <v>36</v>
      </c>
      <c r="C930" t="s">
        <v>282</v>
      </c>
      <c r="G930">
        <v>2001</v>
      </c>
      <c r="H930">
        <v>1</v>
      </c>
      <c r="I930">
        <v>0</v>
      </c>
      <c r="J930" t="s">
        <v>30</v>
      </c>
      <c r="K930" s="45" t="s">
        <v>35</v>
      </c>
      <c r="L930">
        <f t="shared" si="301"/>
        <v>2011</v>
      </c>
      <c r="M930" s="15">
        <f t="shared" si="302"/>
        <v>2011.0833333333333</v>
      </c>
      <c r="N930" s="5">
        <v>16184</v>
      </c>
      <c r="O930" s="5">
        <f t="shared" si="303"/>
        <v>16184</v>
      </c>
      <c r="P930" s="5">
        <f t="shared" si="304"/>
        <v>134.86666666666667</v>
      </c>
      <c r="Q930" s="5">
        <f t="shared" si="305"/>
        <v>1618.4</v>
      </c>
      <c r="R930" s="5">
        <f t="shared" si="306"/>
        <v>0</v>
      </c>
      <c r="S930" s="5">
        <f t="shared" si="307"/>
        <v>16184</v>
      </c>
      <c r="T930" s="5">
        <f t="shared" si="308"/>
        <v>16184</v>
      </c>
      <c r="U930" s="5">
        <f t="shared" si="309"/>
        <v>0</v>
      </c>
    </row>
    <row r="931" spans="2:21">
      <c r="B931" s="12">
        <v>17</v>
      </c>
      <c r="C931" t="s">
        <v>283</v>
      </c>
      <c r="G931">
        <v>2003</v>
      </c>
      <c r="H931">
        <v>7</v>
      </c>
      <c r="I931">
        <v>0</v>
      </c>
      <c r="J931" t="s">
        <v>30</v>
      </c>
      <c r="K931" s="45" t="s">
        <v>35</v>
      </c>
      <c r="L931">
        <f t="shared" si="301"/>
        <v>2013</v>
      </c>
      <c r="M931" s="15">
        <f t="shared" si="302"/>
        <v>2013.5833333333333</v>
      </c>
      <c r="N931" s="5">
        <v>7862.98</v>
      </c>
      <c r="O931" s="5">
        <f t="shared" si="303"/>
        <v>7862.98</v>
      </c>
      <c r="P931" s="5">
        <f t="shared" si="304"/>
        <v>65.524833333333333</v>
      </c>
      <c r="Q931" s="5">
        <f t="shared" si="305"/>
        <v>786.298</v>
      </c>
      <c r="R931" s="5">
        <f t="shared" si="306"/>
        <v>0</v>
      </c>
      <c r="S931" s="5">
        <f t="shared" si="307"/>
        <v>7862.98</v>
      </c>
      <c r="T931" s="5">
        <f t="shared" si="308"/>
        <v>7862.98</v>
      </c>
      <c r="U931" s="5">
        <f t="shared" si="309"/>
        <v>0</v>
      </c>
    </row>
    <row r="932" spans="2:21">
      <c r="B932" s="12">
        <v>4</v>
      </c>
      <c r="C932" t="s">
        <v>284</v>
      </c>
      <c r="G932">
        <v>2003</v>
      </c>
      <c r="H932">
        <v>7</v>
      </c>
      <c r="I932">
        <v>0</v>
      </c>
      <c r="J932" t="s">
        <v>30</v>
      </c>
      <c r="K932" s="45" t="s">
        <v>35</v>
      </c>
      <c r="L932">
        <f t="shared" si="301"/>
        <v>2013</v>
      </c>
      <c r="M932" s="15">
        <f t="shared" si="302"/>
        <v>2013.5833333333333</v>
      </c>
      <c r="N932" s="5">
        <v>1697.28</v>
      </c>
      <c r="O932" s="5">
        <f t="shared" si="303"/>
        <v>1697.28</v>
      </c>
      <c r="P932" s="5">
        <f t="shared" si="304"/>
        <v>14.144</v>
      </c>
      <c r="Q932" s="5">
        <f t="shared" si="305"/>
        <v>169.72800000000001</v>
      </c>
      <c r="R932" s="5">
        <f t="shared" si="306"/>
        <v>0</v>
      </c>
      <c r="S932" s="5">
        <f t="shared" si="307"/>
        <v>1697.28</v>
      </c>
      <c r="T932" s="5">
        <f t="shared" si="308"/>
        <v>1697.28</v>
      </c>
      <c r="U932" s="5">
        <f t="shared" si="309"/>
        <v>0</v>
      </c>
    </row>
    <row r="933" spans="2:21">
      <c r="B933" s="12">
        <v>8</v>
      </c>
      <c r="C933" t="s">
        <v>284</v>
      </c>
      <c r="G933">
        <v>2002</v>
      </c>
      <c r="H933">
        <v>4</v>
      </c>
      <c r="I933">
        <v>0</v>
      </c>
      <c r="J933" t="s">
        <v>30</v>
      </c>
      <c r="K933" s="45" t="s">
        <v>35</v>
      </c>
      <c r="L933">
        <f t="shared" si="301"/>
        <v>2012</v>
      </c>
      <c r="M933" s="15">
        <f t="shared" si="302"/>
        <v>2012.3333333333333</v>
      </c>
      <c r="N933" s="5">
        <v>3720.96</v>
      </c>
      <c r="O933" s="5">
        <f t="shared" si="303"/>
        <v>3720.96</v>
      </c>
      <c r="P933" s="5">
        <f t="shared" si="304"/>
        <v>31.007999999999999</v>
      </c>
      <c r="Q933" s="5">
        <f t="shared" si="305"/>
        <v>372.096</v>
      </c>
      <c r="R933" s="5">
        <f t="shared" si="306"/>
        <v>0</v>
      </c>
      <c r="S933" s="5">
        <f t="shared" si="307"/>
        <v>3720.96</v>
      </c>
      <c r="T933" s="5">
        <f t="shared" si="308"/>
        <v>3720.96</v>
      </c>
      <c r="U933" s="5">
        <f t="shared" si="309"/>
        <v>0</v>
      </c>
    </row>
    <row r="934" spans="2:21">
      <c r="B934" s="12">
        <v>13</v>
      </c>
      <c r="C934" t="s">
        <v>284</v>
      </c>
      <c r="G934">
        <v>2002</v>
      </c>
      <c r="H934">
        <v>3</v>
      </c>
      <c r="I934">
        <v>0</v>
      </c>
      <c r="J934" t="s">
        <v>30</v>
      </c>
      <c r="K934" s="45" t="s">
        <v>35</v>
      </c>
      <c r="L934">
        <f t="shared" si="301"/>
        <v>2012</v>
      </c>
      <c r="M934" s="15">
        <f t="shared" si="302"/>
        <v>2012.25</v>
      </c>
      <c r="N934" s="5">
        <v>6092.8</v>
      </c>
      <c r="O934" s="5">
        <f t="shared" si="303"/>
        <v>6092.8</v>
      </c>
      <c r="P934" s="5">
        <f t="shared" si="304"/>
        <v>50.773333333333333</v>
      </c>
      <c r="Q934" s="5">
        <f t="shared" si="305"/>
        <v>609.28</v>
      </c>
      <c r="R934" s="5">
        <f t="shared" si="306"/>
        <v>0</v>
      </c>
      <c r="S934" s="5">
        <f t="shared" si="307"/>
        <v>6092.8</v>
      </c>
      <c r="T934" s="5">
        <f t="shared" si="308"/>
        <v>6092.8</v>
      </c>
      <c r="U934" s="5">
        <f t="shared" si="309"/>
        <v>0</v>
      </c>
    </row>
    <row r="935" spans="2:21">
      <c r="B935" s="12">
        <v>15</v>
      </c>
      <c r="C935" t="s">
        <v>284</v>
      </c>
      <c r="G935">
        <v>2002</v>
      </c>
      <c r="H935">
        <v>8</v>
      </c>
      <c r="I935">
        <v>0</v>
      </c>
      <c r="J935" t="s">
        <v>30</v>
      </c>
      <c r="K935" s="45" t="s">
        <v>35</v>
      </c>
      <c r="L935">
        <f t="shared" si="301"/>
        <v>2012</v>
      </c>
      <c r="M935" s="15">
        <f t="shared" si="302"/>
        <v>2012.6666666666667</v>
      </c>
      <c r="N935" s="5">
        <v>7017.6</v>
      </c>
      <c r="O935" s="5">
        <f t="shared" si="303"/>
        <v>7017.6</v>
      </c>
      <c r="P935" s="5">
        <f t="shared" si="304"/>
        <v>58.48</v>
      </c>
      <c r="Q935" s="5">
        <f t="shared" si="305"/>
        <v>701.76</v>
      </c>
      <c r="R935" s="5">
        <f t="shared" si="306"/>
        <v>0</v>
      </c>
      <c r="S935" s="5">
        <f t="shared" si="307"/>
        <v>7017.6</v>
      </c>
      <c r="T935" s="5">
        <f t="shared" si="308"/>
        <v>7017.6</v>
      </c>
      <c r="U935" s="5">
        <f t="shared" si="309"/>
        <v>0</v>
      </c>
    </row>
    <row r="936" spans="2:21">
      <c r="B936" s="12">
        <v>17</v>
      </c>
      <c r="C936" t="s">
        <v>284</v>
      </c>
      <c r="G936">
        <v>2003</v>
      </c>
      <c r="H936">
        <v>2</v>
      </c>
      <c r="I936">
        <v>0</v>
      </c>
      <c r="J936" t="s">
        <v>30</v>
      </c>
      <c r="K936" s="45" t="s">
        <v>35</v>
      </c>
      <c r="L936">
        <f t="shared" si="301"/>
        <v>2013</v>
      </c>
      <c r="M936" s="15">
        <f t="shared" si="302"/>
        <v>2013.1666666666667</v>
      </c>
      <c r="N936" s="5">
        <v>7563.78</v>
      </c>
      <c r="O936" s="5">
        <f t="shared" si="303"/>
        <v>7563.78</v>
      </c>
      <c r="P936" s="5">
        <f t="shared" si="304"/>
        <v>63.031499999999994</v>
      </c>
      <c r="Q936" s="5">
        <f t="shared" si="305"/>
        <v>756.37799999999993</v>
      </c>
      <c r="R936" s="5">
        <f t="shared" si="306"/>
        <v>0</v>
      </c>
      <c r="S936" s="5">
        <f t="shared" si="307"/>
        <v>7563.78</v>
      </c>
      <c r="T936" s="5">
        <f t="shared" si="308"/>
        <v>7563.78</v>
      </c>
      <c r="U936" s="5">
        <f t="shared" si="309"/>
        <v>0</v>
      </c>
    </row>
    <row r="937" spans="2:21">
      <c r="B937" s="12">
        <v>17</v>
      </c>
      <c r="C937" t="s">
        <v>284</v>
      </c>
      <c r="G937">
        <v>2003</v>
      </c>
      <c r="H937">
        <v>6</v>
      </c>
      <c r="I937">
        <v>0</v>
      </c>
      <c r="J937" t="s">
        <v>30</v>
      </c>
      <c r="K937" s="45" t="s">
        <v>35</v>
      </c>
      <c r="L937">
        <f t="shared" si="301"/>
        <v>2013</v>
      </c>
      <c r="M937" s="15">
        <f t="shared" si="302"/>
        <v>2013.5</v>
      </c>
      <c r="N937" s="5">
        <v>7563.78</v>
      </c>
      <c r="O937" s="5">
        <f t="shared" si="303"/>
        <v>7563.78</v>
      </c>
      <c r="P937" s="5">
        <f t="shared" si="304"/>
        <v>63.031499999999994</v>
      </c>
      <c r="Q937" s="5">
        <f t="shared" si="305"/>
        <v>756.37799999999993</v>
      </c>
      <c r="R937" s="5">
        <f t="shared" si="306"/>
        <v>0</v>
      </c>
      <c r="S937" s="5">
        <f t="shared" si="307"/>
        <v>7563.78</v>
      </c>
      <c r="T937" s="5">
        <f t="shared" si="308"/>
        <v>7563.78</v>
      </c>
      <c r="U937" s="5">
        <f t="shared" si="309"/>
        <v>0</v>
      </c>
    </row>
    <row r="938" spans="2:21">
      <c r="B938" s="12">
        <v>17</v>
      </c>
      <c r="C938" t="s">
        <v>284</v>
      </c>
      <c r="G938">
        <v>2003</v>
      </c>
      <c r="H938">
        <v>6</v>
      </c>
      <c r="I938">
        <v>0</v>
      </c>
      <c r="J938" t="s">
        <v>30</v>
      </c>
      <c r="K938" s="45" t="s">
        <v>35</v>
      </c>
      <c r="L938">
        <f t="shared" si="301"/>
        <v>2013</v>
      </c>
      <c r="M938" s="15">
        <f t="shared" si="302"/>
        <v>2013.5</v>
      </c>
      <c r="N938" s="5">
        <v>7563.78</v>
      </c>
      <c r="O938" s="5">
        <f t="shared" si="303"/>
        <v>7563.78</v>
      </c>
      <c r="P938" s="5">
        <f t="shared" si="304"/>
        <v>63.031499999999994</v>
      </c>
      <c r="Q938" s="5">
        <f t="shared" si="305"/>
        <v>756.37799999999993</v>
      </c>
      <c r="R938" s="5">
        <f t="shared" si="306"/>
        <v>0</v>
      </c>
      <c r="S938" s="5">
        <f t="shared" si="307"/>
        <v>7563.78</v>
      </c>
      <c r="T938" s="5">
        <f t="shared" si="308"/>
        <v>7563.78</v>
      </c>
      <c r="U938" s="5">
        <f t="shared" si="309"/>
        <v>0</v>
      </c>
    </row>
    <row r="939" spans="2:21">
      <c r="B939" s="12">
        <v>19</v>
      </c>
      <c r="C939" t="s">
        <v>284</v>
      </c>
      <c r="G939">
        <v>2001</v>
      </c>
      <c r="H939">
        <v>6</v>
      </c>
      <c r="I939">
        <v>0</v>
      </c>
      <c r="J939" t="s">
        <v>30</v>
      </c>
      <c r="K939" s="45" t="s">
        <v>35</v>
      </c>
      <c r="L939">
        <f t="shared" si="301"/>
        <v>2011</v>
      </c>
      <c r="M939" s="15">
        <f t="shared" si="302"/>
        <v>2011.5</v>
      </c>
      <c r="N939" s="5">
        <v>8529.92</v>
      </c>
      <c r="O939" s="5">
        <f t="shared" si="303"/>
        <v>8529.92</v>
      </c>
      <c r="P939" s="5">
        <f t="shared" si="304"/>
        <v>71.082666666666668</v>
      </c>
      <c r="Q939" s="5">
        <f t="shared" si="305"/>
        <v>852.99199999999996</v>
      </c>
      <c r="R939" s="5">
        <f t="shared" si="306"/>
        <v>0</v>
      </c>
      <c r="S939" s="5">
        <f t="shared" si="307"/>
        <v>8529.92</v>
      </c>
      <c r="T939" s="5">
        <f t="shared" si="308"/>
        <v>8529.92</v>
      </c>
      <c r="U939" s="5">
        <f t="shared" si="309"/>
        <v>0</v>
      </c>
    </row>
    <row r="940" spans="2:21">
      <c r="B940" s="12">
        <v>19</v>
      </c>
      <c r="C940" t="s">
        <v>284</v>
      </c>
      <c r="G940">
        <v>2003</v>
      </c>
      <c r="H940">
        <v>2</v>
      </c>
      <c r="I940">
        <v>0</v>
      </c>
      <c r="J940" t="s">
        <v>30</v>
      </c>
      <c r="K940" s="45" t="s">
        <v>35</v>
      </c>
      <c r="L940">
        <f t="shared" si="301"/>
        <v>2013</v>
      </c>
      <c r="M940" s="15">
        <f t="shared" si="302"/>
        <v>2013.1666666666667</v>
      </c>
      <c r="N940" s="5">
        <v>8557.1200000000008</v>
      </c>
      <c r="O940" s="5">
        <f t="shared" si="303"/>
        <v>8557.1200000000008</v>
      </c>
      <c r="P940" s="5">
        <f t="shared" si="304"/>
        <v>71.309333333333342</v>
      </c>
      <c r="Q940" s="5">
        <f t="shared" si="305"/>
        <v>855.7120000000001</v>
      </c>
      <c r="R940" s="5">
        <f t="shared" si="306"/>
        <v>0</v>
      </c>
      <c r="S940" s="5">
        <f t="shared" si="307"/>
        <v>8557.1200000000008</v>
      </c>
      <c r="T940" s="5">
        <f t="shared" si="308"/>
        <v>8557.1200000000008</v>
      </c>
      <c r="U940" s="5">
        <f t="shared" si="309"/>
        <v>0</v>
      </c>
    </row>
    <row r="941" spans="2:21">
      <c r="B941" s="12">
        <v>19</v>
      </c>
      <c r="C941" t="s">
        <v>284</v>
      </c>
      <c r="G941">
        <v>2004</v>
      </c>
      <c r="H941">
        <v>6</v>
      </c>
      <c r="I941">
        <v>0</v>
      </c>
      <c r="J941" t="s">
        <v>30</v>
      </c>
      <c r="K941" s="45" t="s">
        <v>35</v>
      </c>
      <c r="L941">
        <f t="shared" si="301"/>
        <v>2014</v>
      </c>
      <c r="M941" s="15">
        <f t="shared" si="302"/>
        <v>2014.5</v>
      </c>
      <c r="N941" s="5">
        <v>8736.64</v>
      </c>
      <c r="O941" s="5">
        <f t="shared" si="303"/>
        <v>8736.64</v>
      </c>
      <c r="P941" s="5">
        <f t="shared" si="304"/>
        <v>72.805333333333337</v>
      </c>
      <c r="Q941" s="5">
        <f t="shared" si="305"/>
        <v>873.66399999999999</v>
      </c>
      <c r="R941" s="5">
        <f t="shared" si="306"/>
        <v>0</v>
      </c>
      <c r="S941" s="5">
        <f t="shared" si="307"/>
        <v>8736.64</v>
      </c>
      <c r="T941" s="5">
        <f t="shared" si="308"/>
        <v>8736.64</v>
      </c>
      <c r="U941" s="5">
        <f t="shared" si="309"/>
        <v>0</v>
      </c>
    </row>
    <row r="942" spans="2:21">
      <c r="B942" s="12">
        <v>33</v>
      </c>
      <c r="C942" t="s">
        <v>284</v>
      </c>
      <c r="G942">
        <v>2003</v>
      </c>
      <c r="H942">
        <v>2</v>
      </c>
      <c r="I942">
        <v>0</v>
      </c>
      <c r="J942" t="s">
        <v>30</v>
      </c>
      <c r="K942" s="45" t="s">
        <v>35</v>
      </c>
      <c r="L942">
        <f t="shared" si="301"/>
        <v>2013</v>
      </c>
      <c r="M942" s="15">
        <f t="shared" si="302"/>
        <v>2013.1666666666667</v>
      </c>
      <c r="N942" s="5">
        <v>15127.55</v>
      </c>
      <c r="O942" s="5">
        <f t="shared" si="303"/>
        <v>15127.55</v>
      </c>
      <c r="P942" s="5">
        <f t="shared" si="304"/>
        <v>126.06291666666665</v>
      </c>
      <c r="Q942" s="5">
        <f t="shared" si="305"/>
        <v>1512.7549999999999</v>
      </c>
      <c r="R942" s="5">
        <f t="shared" si="306"/>
        <v>0</v>
      </c>
      <c r="S942" s="5">
        <f t="shared" si="307"/>
        <v>15127.55</v>
      </c>
      <c r="T942" s="5">
        <f t="shared" si="308"/>
        <v>15127.55</v>
      </c>
      <c r="U942" s="5">
        <f t="shared" si="309"/>
        <v>0</v>
      </c>
    </row>
    <row r="943" spans="2:21">
      <c r="B943" s="12">
        <v>7</v>
      </c>
      <c r="C943" t="s">
        <v>132</v>
      </c>
      <c r="G943">
        <v>2000</v>
      </c>
      <c r="H943">
        <v>9</v>
      </c>
      <c r="I943">
        <v>0</v>
      </c>
      <c r="J943" t="s">
        <v>30</v>
      </c>
      <c r="K943" s="45" t="s">
        <v>35</v>
      </c>
      <c r="L943">
        <f t="shared" si="301"/>
        <v>2010</v>
      </c>
      <c r="M943" s="15">
        <f t="shared" si="302"/>
        <v>2010.75</v>
      </c>
      <c r="N943" s="5">
        <v>3095.1</v>
      </c>
      <c r="O943" s="5">
        <f t="shared" si="303"/>
        <v>3095.1</v>
      </c>
      <c r="P943" s="5">
        <f t="shared" si="304"/>
        <v>25.7925</v>
      </c>
      <c r="Q943" s="5">
        <f t="shared" si="305"/>
        <v>309.51</v>
      </c>
      <c r="R943" s="5">
        <f t="shared" si="306"/>
        <v>0</v>
      </c>
      <c r="S943" s="5">
        <f t="shared" si="307"/>
        <v>3095.1</v>
      </c>
      <c r="T943" s="5">
        <f t="shared" si="308"/>
        <v>3095.1</v>
      </c>
      <c r="U943" s="5">
        <f t="shared" si="309"/>
        <v>0</v>
      </c>
    </row>
    <row r="944" spans="2:21">
      <c r="B944" s="12">
        <v>7</v>
      </c>
      <c r="C944" t="s">
        <v>132</v>
      </c>
      <c r="G944">
        <v>2002</v>
      </c>
      <c r="H944">
        <v>6</v>
      </c>
      <c r="I944">
        <v>0</v>
      </c>
      <c r="J944" t="s">
        <v>30</v>
      </c>
      <c r="K944" s="45" t="s">
        <v>35</v>
      </c>
      <c r="L944">
        <f t="shared" si="301"/>
        <v>2012</v>
      </c>
      <c r="M944" s="15">
        <f t="shared" si="302"/>
        <v>2012.5</v>
      </c>
      <c r="N944" s="5">
        <v>3111.68</v>
      </c>
      <c r="O944" s="5">
        <f t="shared" si="303"/>
        <v>3111.68</v>
      </c>
      <c r="P944" s="5">
        <f t="shared" si="304"/>
        <v>25.930666666666667</v>
      </c>
      <c r="Q944" s="5">
        <f t="shared" si="305"/>
        <v>311.16800000000001</v>
      </c>
      <c r="R944" s="5">
        <f t="shared" si="306"/>
        <v>0</v>
      </c>
      <c r="S944" s="5">
        <f t="shared" si="307"/>
        <v>3111.68</v>
      </c>
      <c r="T944" s="5">
        <f t="shared" si="308"/>
        <v>3111.68</v>
      </c>
      <c r="U944" s="5">
        <f t="shared" si="309"/>
        <v>0</v>
      </c>
    </row>
    <row r="945" spans="2:21">
      <c r="B945" s="12">
        <v>8</v>
      </c>
      <c r="C945" t="s">
        <v>132</v>
      </c>
      <c r="G945">
        <v>2001</v>
      </c>
      <c r="H945">
        <v>7</v>
      </c>
      <c r="I945">
        <v>0</v>
      </c>
      <c r="J945" t="s">
        <v>30</v>
      </c>
      <c r="K945" s="45" t="s">
        <v>35</v>
      </c>
      <c r="L945">
        <f t="shared" si="301"/>
        <v>2011</v>
      </c>
      <c r="M945" s="15">
        <f t="shared" si="302"/>
        <v>2011.5833333333333</v>
      </c>
      <c r="N945" s="5">
        <v>3557.76</v>
      </c>
      <c r="O945" s="5">
        <f t="shared" si="303"/>
        <v>3557.76</v>
      </c>
      <c r="P945" s="5">
        <f t="shared" si="304"/>
        <v>29.648</v>
      </c>
      <c r="Q945" s="5">
        <f t="shared" si="305"/>
        <v>355.77600000000001</v>
      </c>
      <c r="R945" s="5">
        <f t="shared" si="306"/>
        <v>0</v>
      </c>
      <c r="S945" s="5">
        <f t="shared" si="307"/>
        <v>3557.76</v>
      </c>
      <c r="T945" s="5">
        <f t="shared" si="308"/>
        <v>3557.76</v>
      </c>
      <c r="U945" s="5">
        <f t="shared" si="309"/>
        <v>0</v>
      </c>
    </row>
    <row r="946" spans="2:21">
      <c r="B946" s="12">
        <v>8</v>
      </c>
      <c r="C946" t="s">
        <v>132</v>
      </c>
      <c r="G946">
        <v>2001</v>
      </c>
      <c r="H946">
        <v>6</v>
      </c>
      <c r="I946">
        <v>0</v>
      </c>
      <c r="J946" t="s">
        <v>30</v>
      </c>
      <c r="K946" s="45" t="s">
        <v>35</v>
      </c>
      <c r="L946">
        <f t="shared" si="301"/>
        <v>2011</v>
      </c>
      <c r="M946" s="15">
        <f t="shared" si="302"/>
        <v>2011.5</v>
      </c>
      <c r="N946" s="5">
        <v>3688.32</v>
      </c>
      <c r="O946" s="5">
        <f t="shared" si="303"/>
        <v>3688.32</v>
      </c>
      <c r="P946" s="5">
        <f t="shared" si="304"/>
        <v>30.736000000000001</v>
      </c>
      <c r="Q946" s="5">
        <f t="shared" si="305"/>
        <v>368.83199999999999</v>
      </c>
      <c r="R946" s="5">
        <f t="shared" si="306"/>
        <v>0</v>
      </c>
      <c r="S946" s="5">
        <f t="shared" si="307"/>
        <v>3688.32</v>
      </c>
      <c r="T946" s="5">
        <f t="shared" si="308"/>
        <v>3688.32</v>
      </c>
      <c r="U946" s="5">
        <f t="shared" si="309"/>
        <v>0</v>
      </c>
    </row>
    <row r="947" spans="2:21">
      <c r="B947" s="12">
        <v>8</v>
      </c>
      <c r="C947" t="s">
        <v>132</v>
      </c>
      <c r="G947">
        <v>2005</v>
      </c>
      <c r="H947">
        <v>7</v>
      </c>
      <c r="I947">
        <v>0</v>
      </c>
      <c r="J947" t="s">
        <v>30</v>
      </c>
      <c r="K947" s="45" t="s">
        <v>35</v>
      </c>
      <c r="L947">
        <f t="shared" si="301"/>
        <v>2015</v>
      </c>
      <c r="M947" s="15">
        <f t="shared" si="302"/>
        <v>2015.5833333333333</v>
      </c>
      <c r="N947" s="5">
        <v>3707.9</v>
      </c>
      <c r="O947" s="5">
        <f t="shared" si="303"/>
        <v>3707.9</v>
      </c>
      <c r="P947" s="5">
        <f t="shared" si="304"/>
        <v>30.89916666666667</v>
      </c>
      <c r="Q947" s="5">
        <f t="shared" si="305"/>
        <v>370.79</v>
      </c>
      <c r="R947" s="5">
        <f t="shared" si="306"/>
        <v>0</v>
      </c>
      <c r="S947" s="5">
        <f t="shared" si="307"/>
        <v>3707.9</v>
      </c>
      <c r="T947" s="5">
        <f t="shared" si="308"/>
        <v>3707.9</v>
      </c>
      <c r="U947" s="5">
        <f t="shared" si="309"/>
        <v>0</v>
      </c>
    </row>
    <row r="948" spans="2:21">
      <c r="B948" s="12">
        <v>10</v>
      </c>
      <c r="C948" t="s">
        <v>132</v>
      </c>
      <c r="G948">
        <v>2005</v>
      </c>
      <c r="H948">
        <v>7</v>
      </c>
      <c r="I948">
        <v>0</v>
      </c>
      <c r="J948" t="s">
        <v>30</v>
      </c>
      <c r="K948" s="45" t="s">
        <v>35</v>
      </c>
      <c r="L948">
        <f t="shared" si="301"/>
        <v>2015</v>
      </c>
      <c r="M948" s="15">
        <f t="shared" si="302"/>
        <v>2015.5833333333333</v>
      </c>
      <c r="N948" s="5">
        <v>4564.16</v>
      </c>
      <c r="O948" s="5">
        <f t="shared" si="303"/>
        <v>4564.16</v>
      </c>
      <c r="P948" s="5">
        <f t="shared" si="304"/>
        <v>38.034666666666666</v>
      </c>
      <c r="Q948" s="5">
        <f t="shared" si="305"/>
        <v>456.416</v>
      </c>
      <c r="R948" s="5">
        <f t="shared" si="306"/>
        <v>0</v>
      </c>
      <c r="S948" s="5">
        <f t="shared" si="307"/>
        <v>4564.16</v>
      </c>
      <c r="T948" s="5">
        <f t="shared" si="308"/>
        <v>4564.16</v>
      </c>
      <c r="U948" s="5">
        <f t="shared" si="309"/>
        <v>0</v>
      </c>
    </row>
    <row r="949" spans="2:21">
      <c r="B949" s="12">
        <v>11</v>
      </c>
      <c r="C949" t="s">
        <v>132</v>
      </c>
      <c r="G949">
        <v>2005</v>
      </c>
      <c r="H949">
        <v>9</v>
      </c>
      <c r="I949">
        <v>0</v>
      </c>
      <c r="J949" t="s">
        <v>30</v>
      </c>
      <c r="K949" s="45" t="s">
        <v>35</v>
      </c>
      <c r="L949">
        <f t="shared" si="301"/>
        <v>2015</v>
      </c>
      <c r="M949" s="15">
        <f t="shared" si="302"/>
        <v>2015.75</v>
      </c>
      <c r="N949" s="5">
        <v>5034</v>
      </c>
      <c r="O949" s="5">
        <f t="shared" si="303"/>
        <v>5034</v>
      </c>
      <c r="P949" s="5">
        <f t="shared" si="304"/>
        <v>41.949999999999996</v>
      </c>
      <c r="Q949" s="5">
        <f t="shared" si="305"/>
        <v>503.4</v>
      </c>
      <c r="R949" s="5">
        <f t="shared" si="306"/>
        <v>0</v>
      </c>
      <c r="S949" s="5">
        <f t="shared" si="307"/>
        <v>5034</v>
      </c>
      <c r="T949" s="5">
        <f t="shared" si="308"/>
        <v>5034</v>
      </c>
      <c r="U949" s="5">
        <f t="shared" si="309"/>
        <v>0</v>
      </c>
    </row>
    <row r="950" spans="2:21">
      <c r="B950" s="12">
        <v>13</v>
      </c>
      <c r="C950" t="s">
        <v>132</v>
      </c>
      <c r="G950">
        <v>2006</v>
      </c>
      <c r="H950">
        <v>8</v>
      </c>
      <c r="I950">
        <v>0</v>
      </c>
      <c r="J950" t="s">
        <v>30</v>
      </c>
      <c r="K950" s="45" t="s">
        <v>35</v>
      </c>
      <c r="L950">
        <f t="shared" si="301"/>
        <v>2016</v>
      </c>
      <c r="M950" s="15">
        <f t="shared" si="302"/>
        <v>2016.6666666666667</v>
      </c>
      <c r="N950" s="5">
        <v>5864.32</v>
      </c>
      <c r="O950" s="5">
        <f t="shared" si="303"/>
        <v>5864.32</v>
      </c>
      <c r="P950" s="5">
        <f t="shared" si="304"/>
        <v>48.869333333333337</v>
      </c>
      <c r="Q950" s="5">
        <f t="shared" si="305"/>
        <v>586.43200000000002</v>
      </c>
      <c r="R950" s="5">
        <f t="shared" si="306"/>
        <v>0</v>
      </c>
      <c r="S950" s="5">
        <f t="shared" si="307"/>
        <v>5864.32</v>
      </c>
      <c r="T950" s="5">
        <f t="shared" si="308"/>
        <v>5864.32</v>
      </c>
      <c r="U950" s="5">
        <f t="shared" si="309"/>
        <v>0</v>
      </c>
    </row>
    <row r="951" spans="2:21">
      <c r="B951" s="12">
        <v>13</v>
      </c>
      <c r="C951" t="s">
        <v>132</v>
      </c>
      <c r="G951">
        <v>2001</v>
      </c>
      <c r="H951">
        <v>2</v>
      </c>
      <c r="I951">
        <v>0</v>
      </c>
      <c r="J951" t="s">
        <v>30</v>
      </c>
      <c r="K951" s="45" t="s">
        <v>35</v>
      </c>
      <c r="L951">
        <f t="shared" si="301"/>
        <v>2011</v>
      </c>
      <c r="M951" s="15">
        <f t="shared" si="302"/>
        <v>2011.1666666666667</v>
      </c>
      <c r="N951" s="5">
        <v>6081.6</v>
      </c>
      <c r="O951" s="5">
        <f t="shared" si="303"/>
        <v>6081.6</v>
      </c>
      <c r="P951" s="5">
        <f t="shared" si="304"/>
        <v>50.680000000000007</v>
      </c>
      <c r="Q951" s="5">
        <f t="shared" si="305"/>
        <v>608.16000000000008</v>
      </c>
      <c r="R951" s="5">
        <f t="shared" si="306"/>
        <v>0</v>
      </c>
      <c r="S951" s="5">
        <f t="shared" si="307"/>
        <v>6081.6</v>
      </c>
      <c r="T951" s="5">
        <f t="shared" si="308"/>
        <v>6081.6</v>
      </c>
      <c r="U951" s="5">
        <f t="shared" si="309"/>
        <v>0</v>
      </c>
    </row>
    <row r="952" spans="2:21">
      <c r="B952" s="12">
        <v>14</v>
      </c>
      <c r="C952" t="s">
        <v>132</v>
      </c>
      <c r="G952">
        <v>2003</v>
      </c>
      <c r="H952">
        <v>6</v>
      </c>
      <c r="I952">
        <v>0</v>
      </c>
      <c r="J952" t="s">
        <v>30</v>
      </c>
      <c r="K952" s="45" t="s">
        <v>35</v>
      </c>
      <c r="L952">
        <f t="shared" si="301"/>
        <v>2013</v>
      </c>
      <c r="M952" s="15">
        <f t="shared" si="302"/>
        <v>2013.5</v>
      </c>
      <c r="N952" s="5">
        <v>6433.34</v>
      </c>
      <c r="O952" s="5">
        <f t="shared" si="303"/>
        <v>6433.34</v>
      </c>
      <c r="P952" s="5">
        <f t="shared" si="304"/>
        <v>53.611166666666669</v>
      </c>
      <c r="Q952" s="5">
        <f t="shared" si="305"/>
        <v>643.33400000000006</v>
      </c>
      <c r="R952" s="5">
        <f t="shared" si="306"/>
        <v>0</v>
      </c>
      <c r="S952" s="5">
        <f t="shared" si="307"/>
        <v>6433.34</v>
      </c>
      <c r="T952" s="5">
        <f t="shared" si="308"/>
        <v>6433.34</v>
      </c>
      <c r="U952" s="5">
        <f t="shared" si="309"/>
        <v>0</v>
      </c>
    </row>
    <row r="953" spans="2:21">
      <c r="B953" s="12">
        <v>17</v>
      </c>
      <c r="C953" t="s">
        <v>132</v>
      </c>
      <c r="G953">
        <v>2004</v>
      </c>
      <c r="H953">
        <v>6</v>
      </c>
      <c r="I953">
        <v>0</v>
      </c>
      <c r="J953" t="s">
        <v>30</v>
      </c>
      <c r="K953" s="45" t="s">
        <v>35</v>
      </c>
      <c r="L953">
        <f t="shared" si="301"/>
        <v>2014</v>
      </c>
      <c r="M953" s="15">
        <f t="shared" si="302"/>
        <v>2014.5</v>
      </c>
      <c r="N953" s="5">
        <v>7855.36</v>
      </c>
      <c r="O953" s="5">
        <f t="shared" si="303"/>
        <v>7855.36</v>
      </c>
      <c r="P953" s="5">
        <f t="shared" si="304"/>
        <v>65.461333333333329</v>
      </c>
      <c r="Q953" s="5">
        <f t="shared" si="305"/>
        <v>785.53599999999994</v>
      </c>
      <c r="R953" s="5">
        <f t="shared" si="306"/>
        <v>0</v>
      </c>
      <c r="S953" s="5">
        <f t="shared" si="307"/>
        <v>7855.36</v>
      </c>
      <c r="T953" s="5">
        <f t="shared" si="308"/>
        <v>7855.36</v>
      </c>
      <c r="U953" s="5">
        <f t="shared" si="309"/>
        <v>0</v>
      </c>
    </row>
    <row r="954" spans="2:21">
      <c r="B954" s="12">
        <v>19</v>
      </c>
      <c r="C954" t="s">
        <v>132</v>
      </c>
      <c r="G954">
        <v>2004</v>
      </c>
      <c r="H954">
        <v>4</v>
      </c>
      <c r="I954">
        <v>0</v>
      </c>
      <c r="J954" t="s">
        <v>30</v>
      </c>
      <c r="K954" s="45" t="s">
        <v>35</v>
      </c>
      <c r="L954">
        <f t="shared" si="301"/>
        <v>2014</v>
      </c>
      <c r="M954" s="15">
        <f t="shared" si="302"/>
        <v>2014.3333333333333</v>
      </c>
      <c r="N954" s="5">
        <v>8799.74</v>
      </c>
      <c r="O954" s="5">
        <f t="shared" si="303"/>
        <v>8799.74</v>
      </c>
      <c r="P954" s="5">
        <f t="shared" si="304"/>
        <v>73.331166666666661</v>
      </c>
      <c r="Q954" s="5">
        <f t="shared" si="305"/>
        <v>879.97399999999993</v>
      </c>
      <c r="R954" s="5">
        <f t="shared" si="306"/>
        <v>0</v>
      </c>
      <c r="S954" s="5">
        <f t="shared" si="307"/>
        <v>8799.74</v>
      </c>
      <c r="T954" s="5">
        <f t="shared" si="308"/>
        <v>8799.74</v>
      </c>
      <c r="U954" s="5">
        <f t="shared" si="309"/>
        <v>0</v>
      </c>
    </row>
    <row r="955" spans="2:21">
      <c r="B955" s="12">
        <v>20</v>
      </c>
      <c r="C955" t="s">
        <v>132</v>
      </c>
      <c r="G955">
        <v>2005</v>
      </c>
      <c r="H955">
        <v>2</v>
      </c>
      <c r="I955">
        <v>0</v>
      </c>
      <c r="J955" t="s">
        <v>30</v>
      </c>
      <c r="K955" s="45" t="s">
        <v>35</v>
      </c>
      <c r="L955">
        <f t="shared" si="301"/>
        <v>2015</v>
      </c>
      <c r="M955" s="15">
        <f t="shared" si="302"/>
        <v>2015.1666666666667</v>
      </c>
      <c r="N955" s="5">
        <v>8997.76</v>
      </c>
      <c r="O955" s="5">
        <f t="shared" si="303"/>
        <v>8997.76</v>
      </c>
      <c r="P955" s="5">
        <f t="shared" si="304"/>
        <v>74.981333333333339</v>
      </c>
      <c r="Q955" s="5">
        <f t="shared" si="305"/>
        <v>899.77600000000007</v>
      </c>
      <c r="R955" s="5">
        <f t="shared" si="306"/>
        <v>0</v>
      </c>
      <c r="S955" s="5">
        <f t="shared" si="307"/>
        <v>8997.76</v>
      </c>
      <c r="T955" s="5">
        <f t="shared" si="308"/>
        <v>8997.76</v>
      </c>
      <c r="U955" s="5">
        <f t="shared" si="309"/>
        <v>0</v>
      </c>
    </row>
    <row r="956" spans="2:21">
      <c r="B956" s="12">
        <v>20</v>
      </c>
      <c r="C956" t="s">
        <v>132</v>
      </c>
      <c r="G956">
        <v>2001</v>
      </c>
      <c r="H956">
        <v>4</v>
      </c>
      <c r="I956">
        <v>0</v>
      </c>
      <c r="J956" t="s">
        <v>30</v>
      </c>
      <c r="K956" s="45" t="s">
        <v>35</v>
      </c>
      <c r="L956">
        <f t="shared" si="301"/>
        <v>2011</v>
      </c>
      <c r="M956" s="15">
        <f t="shared" si="302"/>
        <v>2011.3333333333333</v>
      </c>
      <c r="N956" s="5">
        <v>9302.4</v>
      </c>
      <c r="O956" s="5">
        <f t="shared" si="303"/>
        <v>9302.4</v>
      </c>
      <c r="P956" s="5">
        <f t="shared" si="304"/>
        <v>77.52</v>
      </c>
      <c r="Q956" s="5">
        <f t="shared" si="305"/>
        <v>930.24</v>
      </c>
      <c r="R956" s="5">
        <f t="shared" si="306"/>
        <v>0</v>
      </c>
      <c r="S956" s="5">
        <f t="shared" si="307"/>
        <v>9302.4</v>
      </c>
      <c r="T956" s="5">
        <f t="shared" si="308"/>
        <v>9302.4</v>
      </c>
      <c r="U956" s="5">
        <f t="shared" si="309"/>
        <v>0</v>
      </c>
    </row>
    <row r="957" spans="2:21">
      <c r="B957" s="12">
        <v>21</v>
      </c>
      <c r="C957" t="s">
        <v>132</v>
      </c>
      <c r="G957">
        <v>2006</v>
      </c>
      <c r="H957">
        <v>9</v>
      </c>
      <c r="I957">
        <v>0</v>
      </c>
      <c r="J957" t="s">
        <v>30</v>
      </c>
      <c r="K957" s="45" t="s">
        <v>35</v>
      </c>
      <c r="L957">
        <f t="shared" si="301"/>
        <v>2016</v>
      </c>
      <c r="M957" s="15">
        <f t="shared" si="302"/>
        <v>2016.75</v>
      </c>
      <c r="N957" s="5">
        <v>9628.7999999999993</v>
      </c>
      <c r="O957" s="5">
        <f t="shared" si="303"/>
        <v>9628.7999999999993</v>
      </c>
      <c r="P957" s="5">
        <f t="shared" si="304"/>
        <v>80.239999999999995</v>
      </c>
      <c r="Q957" s="5">
        <f t="shared" si="305"/>
        <v>962.87999999999988</v>
      </c>
      <c r="R957" s="5">
        <f t="shared" si="306"/>
        <v>0</v>
      </c>
      <c r="S957" s="5">
        <f t="shared" si="307"/>
        <v>9628.7999999999993</v>
      </c>
      <c r="T957" s="5">
        <f t="shared" si="308"/>
        <v>9628.7999999999993</v>
      </c>
      <c r="U957" s="5">
        <f t="shared" si="309"/>
        <v>0</v>
      </c>
    </row>
    <row r="958" spans="2:21">
      <c r="B958" s="12">
        <v>22</v>
      </c>
      <c r="C958" t="s">
        <v>132</v>
      </c>
      <c r="G958">
        <v>2004</v>
      </c>
      <c r="H958">
        <v>8</v>
      </c>
      <c r="I958">
        <v>0</v>
      </c>
      <c r="J958" t="s">
        <v>30</v>
      </c>
      <c r="K958" s="45" t="s">
        <v>35</v>
      </c>
      <c r="L958">
        <f t="shared" si="301"/>
        <v>2014</v>
      </c>
      <c r="M958" s="15">
        <f t="shared" si="302"/>
        <v>2014.6666666666667</v>
      </c>
      <c r="N958" s="5">
        <v>9897.5400000000009</v>
      </c>
      <c r="O958" s="5">
        <f t="shared" si="303"/>
        <v>9897.5400000000009</v>
      </c>
      <c r="P958" s="5">
        <f t="shared" si="304"/>
        <v>82.479500000000016</v>
      </c>
      <c r="Q958" s="5">
        <f t="shared" si="305"/>
        <v>989.75400000000013</v>
      </c>
      <c r="R958" s="5">
        <f t="shared" si="306"/>
        <v>0</v>
      </c>
      <c r="S958" s="5">
        <f t="shared" si="307"/>
        <v>9897.5400000000009</v>
      </c>
      <c r="T958" s="5">
        <f t="shared" si="308"/>
        <v>9897.5400000000009</v>
      </c>
      <c r="U958" s="5">
        <f t="shared" si="309"/>
        <v>0</v>
      </c>
    </row>
    <row r="959" spans="2:21">
      <c r="B959" s="12">
        <v>26</v>
      </c>
      <c r="C959" t="s">
        <v>132</v>
      </c>
      <c r="G959">
        <v>2001</v>
      </c>
      <c r="H959">
        <v>3</v>
      </c>
      <c r="I959">
        <v>0</v>
      </c>
      <c r="J959" t="s">
        <v>30</v>
      </c>
      <c r="K959" s="45" t="s">
        <v>35</v>
      </c>
      <c r="L959">
        <f t="shared" si="301"/>
        <v>2011</v>
      </c>
      <c r="M959" s="15">
        <f t="shared" si="302"/>
        <v>2011.25</v>
      </c>
      <c r="N959" s="5">
        <v>11837.4</v>
      </c>
      <c r="O959" s="5">
        <f t="shared" si="303"/>
        <v>11837.4</v>
      </c>
      <c r="P959" s="5">
        <f t="shared" si="304"/>
        <v>98.644999999999996</v>
      </c>
      <c r="Q959" s="5">
        <f t="shared" si="305"/>
        <v>1183.74</v>
      </c>
      <c r="R959" s="5">
        <f t="shared" si="306"/>
        <v>0</v>
      </c>
      <c r="S959" s="5">
        <f t="shared" si="307"/>
        <v>11837.4</v>
      </c>
      <c r="T959" s="5">
        <f t="shared" si="308"/>
        <v>11837.4</v>
      </c>
      <c r="U959" s="5">
        <f t="shared" si="309"/>
        <v>0</v>
      </c>
    </row>
    <row r="960" spans="2:21">
      <c r="B960" s="12">
        <v>41</v>
      </c>
      <c r="C960" t="s">
        <v>132</v>
      </c>
      <c r="G960">
        <v>2005</v>
      </c>
      <c r="H960">
        <v>10</v>
      </c>
      <c r="I960">
        <v>0</v>
      </c>
      <c r="J960" t="s">
        <v>30</v>
      </c>
      <c r="K960" s="45" t="s">
        <v>35</v>
      </c>
      <c r="L960">
        <f t="shared" si="301"/>
        <v>2015</v>
      </c>
      <c r="M960" s="15">
        <f t="shared" si="302"/>
        <v>2015.8333333333333</v>
      </c>
      <c r="N960" s="5">
        <v>18474.240000000002</v>
      </c>
      <c r="O960" s="5">
        <f t="shared" si="303"/>
        <v>18474.240000000002</v>
      </c>
      <c r="P960" s="5">
        <f t="shared" si="304"/>
        <v>153.95200000000003</v>
      </c>
      <c r="Q960" s="5">
        <f t="shared" si="305"/>
        <v>1847.4240000000004</v>
      </c>
      <c r="R960" s="5">
        <f t="shared" si="306"/>
        <v>0</v>
      </c>
      <c r="S960" s="5">
        <f t="shared" si="307"/>
        <v>18474.240000000002</v>
      </c>
      <c r="T960" s="5">
        <f t="shared" si="308"/>
        <v>18474.240000000002</v>
      </c>
      <c r="U960" s="5">
        <f t="shared" si="309"/>
        <v>0</v>
      </c>
    </row>
    <row r="961" spans="2:21">
      <c r="B961" s="12">
        <v>44</v>
      </c>
      <c r="C961" t="s">
        <v>132</v>
      </c>
      <c r="G961">
        <v>2005</v>
      </c>
      <c r="H961">
        <v>11</v>
      </c>
      <c r="I961">
        <v>0</v>
      </c>
      <c r="J961" t="s">
        <v>30</v>
      </c>
      <c r="K961" s="45" t="s">
        <v>35</v>
      </c>
      <c r="L961">
        <f t="shared" si="301"/>
        <v>2015</v>
      </c>
      <c r="M961" s="15">
        <f t="shared" si="302"/>
        <v>2015.9166666666667</v>
      </c>
      <c r="N961" s="5">
        <v>20082.3</v>
      </c>
      <c r="O961" s="5">
        <f t="shared" si="303"/>
        <v>20082.3</v>
      </c>
      <c r="P961" s="5">
        <f t="shared" si="304"/>
        <v>167.35249999999999</v>
      </c>
      <c r="Q961" s="5">
        <f t="shared" si="305"/>
        <v>2008.23</v>
      </c>
      <c r="R961" s="5">
        <f t="shared" si="306"/>
        <v>0</v>
      </c>
      <c r="S961" s="5">
        <f t="shared" si="307"/>
        <v>20082.3</v>
      </c>
      <c r="T961" s="5">
        <f t="shared" si="308"/>
        <v>20082.3</v>
      </c>
      <c r="U961" s="5">
        <f t="shared" si="309"/>
        <v>0</v>
      </c>
    </row>
    <row r="963" spans="2:21">
      <c r="B963">
        <f>SUM(B928:B962)</f>
        <v>635</v>
      </c>
      <c r="C963" t="s">
        <v>1166</v>
      </c>
    </row>
    <row r="965" spans="2:21">
      <c r="B965" s="12">
        <v>18</v>
      </c>
      <c r="C965" t="s">
        <v>144</v>
      </c>
      <c r="G965">
        <v>2005</v>
      </c>
      <c r="H965">
        <v>8</v>
      </c>
      <c r="I965">
        <v>0</v>
      </c>
      <c r="J965" t="s">
        <v>30</v>
      </c>
      <c r="K965" s="45" t="s">
        <v>35</v>
      </c>
      <c r="L965">
        <f t="shared" ref="L965:L975" si="310">G965+K965</f>
        <v>2015</v>
      </c>
      <c r="M965" s="15">
        <f t="shared" ref="M965:M975" si="311">+L965+(H965/12)</f>
        <v>2015.6666666666667</v>
      </c>
      <c r="N965" s="5">
        <v>8758.4</v>
      </c>
      <c r="O965" s="5">
        <f t="shared" ref="O965:O975" si="312">N965-N965*I965</f>
        <v>8758.4</v>
      </c>
      <c r="P965" s="5">
        <f t="shared" ref="P965:P975" si="313">O965/K965/12</f>
        <v>72.986666666666665</v>
      </c>
      <c r="Q965" s="5">
        <f t="shared" ref="Q965:Q975" si="314">P965*12</f>
        <v>875.83999999999992</v>
      </c>
      <c r="R965" s="5">
        <f t="shared" ref="R965:R975" si="315">+IF(M965&lt;=$O$5,0,IF(L965&gt;$O$4,Q965,(P965*H965)))</f>
        <v>0</v>
      </c>
      <c r="S965" s="5">
        <f t="shared" ref="S965:S975" si="316">+IF(R965=0,N965,IF($O$3-G965&lt;1,0,(($O$3-G965)*Q965)))</f>
        <v>8758.4</v>
      </c>
      <c r="T965" s="5">
        <f t="shared" ref="T965:T975" si="317">+IF(R965=0,S965,S965+R965)</f>
        <v>8758.4</v>
      </c>
      <c r="U965" s="5">
        <f t="shared" ref="U965:U975" si="318">+N965-T965</f>
        <v>0</v>
      </c>
    </row>
    <row r="966" spans="2:21">
      <c r="B966" s="12">
        <v>91</v>
      </c>
      <c r="C966" t="s">
        <v>144</v>
      </c>
      <c r="G966">
        <v>2008</v>
      </c>
      <c r="H966">
        <v>4</v>
      </c>
      <c r="I966">
        <v>0</v>
      </c>
      <c r="J966" t="s">
        <v>30</v>
      </c>
      <c r="K966" s="45" t="s">
        <v>35</v>
      </c>
      <c r="L966">
        <f t="shared" si="310"/>
        <v>2018</v>
      </c>
      <c r="M966" s="15">
        <f t="shared" si="311"/>
        <v>2018.3333333333333</v>
      </c>
      <c r="N966" s="5">
        <v>45453</v>
      </c>
      <c r="O966" s="5">
        <f t="shared" si="312"/>
        <v>45453</v>
      </c>
      <c r="P966" s="5">
        <f t="shared" si="313"/>
        <v>378.77500000000003</v>
      </c>
      <c r="Q966" s="5">
        <f t="shared" si="314"/>
        <v>4545.3</v>
      </c>
      <c r="R966" s="5">
        <f t="shared" si="315"/>
        <v>0</v>
      </c>
      <c r="S966" s="5">
        <f t="shared" si="316"/>
        <v>45453</v>
      </c>
      <c r="T966" s="5">
        <f t="shared" si="317"/>
        <v>45453</v>
      </c>
      <c r="U966" s="5">
        <f t="shared" si="318"/>
        <v>0</v>
      </c>
    </row>
    <row r="967" spans="2:21">
      <c r="B967" s="12">
        <v>6</v>
      </c>
      <c r="C967" t="s">
        <v>145</v>
      </c>
      <c r="G967">
        <v>2002</v>
      </c>
      <c r="H967">
        <v>4</v>
      </c>
      <c r="I967">
        <v>0</v>
      </c>
      <c r="J967" t="s">
        <v>30</v>
      </c>
      <c r="K967" s="45" t="s">
        <v>35</v>
      </c>
      <c r="L967">
        <f t="shared" si="310"/>
        <v>2012</v>
      </c>
      <c r="M967" s="15">
        <f t="shared" si="311"/>
        <v>2012.3333333333333</v>
      </c>
      <c r="N967" s="5">
        <v>3089.92</v>
      </c>
      <c r="O967" s="5">
        <f t="shared" si="312"/>
        <v>3089.92</v>
      </c>
      <c r="P967" s="5">
        <f t="shared" si="313"/>
        <v>25.749333333333336</v>
      </c>
      <c r="Q967" s="5">
        <f t="shared" si="314"/>
        <v>308.99200000000002</v>
      </c>
      <c r="R967" s="5">
        <f t="shared" si="315"/>
        <v>0</v>
      </c>
      <c r="S967" s="5">
        <f t="shared" si="316"/>
        <v>3089.92</v>
      </c>
      <c r="T967" s="5">
        <f t="shared" si="317"/>
        <v>3089.92</v>
      </c>
      <c r="U967" s="5">
        <f t="shared" si="318"/>
        <v>0</v>
      </c>
    </row>
    <row r="968" spans="2:21">
      <c r="B968" s="12">
        <v>32</v>
      </c>
      <c r="C968" t="s">
        <v>145</v>
      </c>
      <c r="G968">
        <v>2002</v>
      </c>
      <c r="H968">
        <v>10</v>
      </c>
      <c r="I968">
        <v>0</v>
      </c>
      <c r="J968" t="s">
        <v>30</v>
      </c>
      <c r="K968" s="45" t="s">
        <v>35</v>
      </c>
      <c r="L968">
        <f t="shared" si="310"/>
        <v>2012</v>
      </c>
      <c r="M968" s="15">
        <f t="shared" si="311"/>
        <v>2012.8333333333333</v>
      </c>
      <c r="N968" s="5">
        <v>16145.92</v>
      </c>
      <c r="O968" s="5">
        <f t="shared" si="312"/>
        <v>16145.92</v>
      </c>
      <c r="P968" s="5">
        <f t="shared" si="313"/>
        <v>134.54933333333335</v>
      </c>
      <c r="Q968" s="5">
        <f t="shared" si="314"/>
        <v>1614.5920000000001</v>
      </c>
      <c r="R968" s="5">
        <f t="shared" si="315"/>
        <v>0</v>
      </c>
      <c r="S968" s="5">
        <f t="shared" si="316"/>
        <v>16145.92</v>
      </c>
      <c r="T968" s="5">
        <f t="shared" si="317"/>
        <v>16145.92</v>
      </c>
      <c r="U968" s="5">
        <f t="shared" si="318"/>
        <v>0</v>
      </c>
    </row>
    <row r="969" spans="2:21">
      <c r="B969" s="12">
        <v>3</v>
      </c>
      <c r="C969" t="s">
        <v>146</v>
      </c>
      <c r="G969">
        <v>2004</v>
      </c>
      <c r="H969">
        <v>5</v>
      </c>
      <c r="I969">
        <v>0</v>
      </c>
      <c r="J969" t="s">
        <v>30</v>
      </c>
      <c r="K969" s="45" t="s">
        <v>35</v>
      </c>
      <c r="L969">
        <f t="shared" si="310"/>
        <v>2014</v>
      </c>
      <c r="M969" s="15">
        <f t="shared" si="311"/>
        <v>2014.4166666666667</v>
      </c>
      <c r="N969" s="5">
        <v>1697.28</v>
      </c>
      <c r="O969" s="5">
        <f t="shared" si="312"/>
        <v>1697.28</v>
      </c>
      <c r="P969" s="5">
        <f t="shared" si="313"/>
        <v>14.144</v>
      </c>
      <c r="Q969" s="5">
        <f t="shared" si="314"/>
        <v>169.72800000000001</v>
      </c>
      <c r="R969" s="5">
        <f t="shared" si="315"/>
        <v>0</v>
      </c>
      <c r="S969" s="5">
        <f t="shared" si="316"/>
        <v>1697.28</v>
      </c>
      <c r="T969" s="5">
        <f t="shared" si="317"/>
        <v>1697.28</v>
      </c>
      <c r="U969" s="5">
        <f t="shared" si="318"/>
        <v>0</v>
      </c>
    </row>
    <row r="970" spans="2:21">
      <c r="B970" s="12">
        <v>20</v>
      </c>
      <c r="C970" t="s">
        <v>146</v>
      </c>
      <c r="G970">
        <v>2003</v>
      </c>
      <c r="H970">
        <v>3</v>
      </c>
      <c r="I970">
        <v>0</v>
      </c>
      <c r="J970" t="s">
        <v>30</v>
      </c>
      <c r="K970" s="45" t="s">
        <v>35</v>
      </c>
      <c r="L970">
        <f t="shared" si="310"/>
        <v>2013</v>
      </c>
      <c r="M970" s="15">
        <f t="shared" si="311"/>
        <v>2013.25</v>
      </c>
      <c r="N970" s="5">
        <v>9846.4</v>
      </c>
      <c r="O970" s="5">
        <f t="shared" si="312"/>
        <v>9846.4</v>
      </c>
      <c r="P970" s="5">
        <f t="shared" si="313"/>
        <v>82.053333333333327</v>
      </c>
      <c r="Q970" s="5">
        <f t="shared" si="314"/>
        <v>984.63999999999987</v>
      </c>
      <c r="R970" s="5">
        <f t="shared" si="315"/>
        <v>0</v>
      </c>
      <c r="S970" s="5">
        <f t="shared" si="316"/>
        <v>9846.4</v>
      </c>
      <c r="T970" s="5">
        <f t="shared" si="317"/>
        <v>9846.4</v>
      </c>
      <c r="U970" s="5">
        <f t="shared" si="318"/>
        <v>0</v>
      </c>
    </row>
    <row r="971" spans="2:21">
      <c r="B971" s="12">
        <v>33</v>
      </c>
      <c r="C971" t="s">
        <v>146</v>
      </c>
      <c r="G971">
        <v>2005</v>
      </c>
      <c r="H971">
        <v>7</v>
      </c>
      <c r="I971">
        <v>0</v>
      </c>
      <c r="J971" t="s">
        <v>30</v>
      </c>
      <c r="K971" s="45" t="s">
        <v>35</v>
      </c>
      <c r="L971">
        <f t="shared" si="310"/>
        <v>2015</v>
      </c>
      <c r="M971" s="15">
        <f t="shared" si="311"/>
        <v>2015.5833333333333</v>
      </c>
      <c r="N971" s="5">
        <v>16265.6</v>
      </c>
      <c r="O971" s="5">
        <f t="shared" si="312"/>
        <v>16265.6</v>
      </c>
      <c r="P971" s="5">
        <f t="shared" si="313"/>
        <v>135.54666666666665</v>
      </c>
      <c r="Q971" s="5">
        <f t="shared" si="314"/>
        <v>1626.56</v>
      </c>
      <c r="R971" s="5">
        <f t="shared" si="315"/>
        <v>0</v>
      </c>
      <c r="S971" s="5">
        <f t="shared" si="316"/>
        <v>16265.6</v>
      </c>
      <c r="T971" s="5">
        <f t="shared" si="317"/>
        <v>16265.6</v>
      </c>
      <c r="U971" s="5">
        <f t="shared" si="318"/>
        <v>0</v>
      </c>
    </row>
    <row r="972" spans="2:21">
      <c r="B972" s="12">
        <v>50</v>
      </c>
      <c r="C972" t="s">
        <v>146</v>
      </c>
      <c r="G972">
        <v>2004</v>
      </c>
      <c r="H972">
        <v>7</v>
      </c>
      <c r="I972">
        <v>0</v>
      </c>
      <c r="J972" t="s">
        <v>30</v>
      </c>
      <c r="K972" s="45" t="s">
        <v>35</v>
      </c>
      <c r="L972">
        <f t="shared" si="310"/>
        <v>2014</v>
      </c>
      <c r="M972" s="15">
        <f t="shared" si="311"/>
        <v>2014.5833333333333</v>
      </c>
      <c r="N972" s="5">
        <v>25024</v>
      </c>
      <c r="O972" s="5">
        <f t="shared" si="312"/>
        <v>25024</v>
      </c>
      <c r="P972" s="5">
        <f t="shared" si="313"/>
        <v>208.53333333333333</v>
      </c>
      <c r="Q972" s="5">
        <f t="shared" si="314"/>
        <v>2502.4</v>
      </c>
      <c r="R972" s="5">
        <f t="shared" si="315"/>
        <v>0</v>
      </c>
      <c r="S972" s="5">
        <f t="shared" si="316"/>
        <v>25024</v>
      </c>
      <c r="T972" s="5">
        <f t="shared" si="317"/>
        <v>25024</v>
      </c>
      <c r="U972" s="5">
        <f t="shared" si="318"/>
        <v>0</v>
      </c>
    </row>
    <row r="973" spans="2:21">
      <c r="B973" s="12">
        <v>50</v>
      </c>
      <c r="C973" t="s">
        <v>146</v>
      </c>
      <c r="G973">
        <v>2004</v>
      </c>
      <c r="H973">
        <v>9</v>
      </c>
      <c r="I973">
        <v>0</v>
      </c>
      <c r="J973" t="s">
        <v>30</v>
      </c>
      <c r="K973" s="45" t="s">
        <v>35</v>
      </c>
      <c r="L973">
        <f t="shared" si="310"/>
        <v>2014</v>
      </c>
      <c r="M973" s="15">
        <f t="shared" si="311"/>
        <v>2014.75</v>
      </c>
      <c r="N973" s="5">
        <v>25024</v>
      </c>
      <c r="O973" s="5">
        <f t="shared" si="312"/>
        <v>25024</v>
      </c>
      <c r="P973" s="5">
        <f t="shared" si="313"/>
        <v>208.53333333333333</v>
      </c>
      <c r="Q973" s="5">
        <f t="shared" si="314"/>
        <v>2502.4</v>
      </c>
      <c r="R973" s="5">
        <f t="shared" si="315"/>
        <v>0</v>
      </c>
      <c r="S973" s="5">
        <f t="shared" si="316"/>
        <v>25024</v>
      </c>
      <c r="T973" s="5">
        <f t="shared" si="317"/>
        <v>25024</v>
      </c>
      <c r="U973" s="5">
        <f t="shared" si="318"/>
        <v>0</v>
      </c>
    </row>
    <row r="974" spans="2:21">
      <c r="B974" s="12">
        <v>76</v>
      </c>
      <c r="C974" t="s">
        <v>146</v>
      </c>
      <c r="G974">
        <v>2008</v>
      </c>
      <c r="H974">
        <v>9</v>
      </c>
      <c r="I974">
        <v>0</v>
      </c>
      <c r="J974" t="s">
        <v>30</v>
      </c>
      <c r="K974" s="45" t="s">
        <v>35</v>
      </c>
      <c r="L974">
        <f t="shared" si="310"/>
        <v>2018</v>
      </c>
      <c r="M974" s="15">
        <f t="shared" si="311"/>
        <v>2018.75</v>
      </c>
      <c r="N974" s="5">
        <v>38064.18</v>
      </c>
      <c r="O974" s="5">
        <f t="shared" si="312"/>
        <v>38064.18</v>
      </c>
      <c r="P974" s="5">
        <f t="shared" si="313"/>
        <v>317.20150000000001</v>
      </c>
      <c r="Q974" s="5">
        <f t="shared" si="314"/>
        <v>3806.4180000000001</v>
      </c>
      <c r="R974" s="5">
        <f t="shared" si="315"/>
        <v>0</v>
      </c>
      <c r="S974" s="5">
        <f t="shared" si="316"/>
        <v>38064.18</v>
      </c>
      <c r="T974" s="5">
        <f t="shared" si="317"/>
        <v>38064.18</v>
      </c>
      <c r="U974" s="5">
        <f t="shared" si="318"/>
        <v>0</v>
      </c>
    </row>
    <row r="975" spans="2:21">
      <c r="B975" s="12">
        <v>83</v>
      </c>
      <c r="C975" t="s">
        <v>146</v>
      </c>
      <c r="G975">
        <v>2007</v>
      </c>
      <c r="H975">
        <v>3</v>
      </c>
      <c r="I975">
        <v>0</v>
      </c>
      <c r="J975" t="s">
        <v>30</v>
      </c>
      <c r="K975" s="45" t="s">
        <v>35</v>
      </c>
      <c r="L975">
        <f t="shared" si="310"/>
        <v>2017</v>
      </c>
      <c r="M975" s="15">
        <f t="shared" si="311"/>
        <v>2017.25</v>
      </c>
      <c r="N975" s="5">
        <v>41616</v>
      </c>
      <c r="O975" s="5">
        <f t="shared" si="312"/>
        <v>41616</v>
      </c>
      <c r="P975" s="5">
        <f t="shared" si="313"/>
        <v>346.8</v>
      </c>
      <c r="Q975" s="5">
        <f t="shared" si="314"/>
        <v>4161.6000000000004</v>
      </c>
      <c r="R975" s="5">
        <f t="shared" si="315"/>
        <v>0</v>
      </c>
      <c r="S975" s="5">
        <f t="shared" si="316"/>
        <v>41616</v>
      </c>
      <c r="T975" s="5">
        <f t="shared" si="317"/>
        <v>41616</v>
      </c>
      <c r="U975" s="5">
        <f t="shared" si="318"/>
        <v>0</v>
      </c>
    </row>
    <row r="977" spans="2:21">
      <c r="B977">
        <f>SUM(B965:B976)</f>
        <v>462</v>
      </c>
      <c r="C977" t="s">
        <v>1167</v>
      </c>
    </row>
    <row r="979" spans="2:21">
      <c r="B979">
        <v>0</v>
      </c>
      <c r="C979" t="s">
        <v>333</v>
      </c>
      <c r="G979">
        <v>2004</v>
      </c>
      <c r="H979">
        <v>5</v>
      </c>
      <c r="I979">
        <v>0</v>
      </c>
      <c r="J979" t="s">
        <v>30</v>
      </c>
      <c r="K979" s="45" t="s">
        <v>35</v>
      </c>
      <c r="L979">
        <f>G979+K979</f>
        <v>2014</v>
      </c>
      <c r="M979" s="15">
        <f>+L979+(H979/12)</f>
        <v>2014.4166666666667</v>
      </c>
      <c r="N979" s="5">
        <v>5062.28</v>
      </c>
      <c r="O979" s="5">
        <f>N979-N979*I979</f>
        <v>5062.28</v>
      </c>
      <c r="P979" s="5">
        <f>O979/K979/12</f>
        <v>42.185666666666663</v>
      </c>
      <c r="Q979" s="5">
        <f>P979*12</f>
        <v>506.22799999999995</v>
      </c>
      <c r="R979" s="5">
        <f>+IF(M979&lt;=$O$5,0,IF(L979&gt;$O$4,Q979,(P979*H979)))</f>
        <v>0</v>
      </c>
      <c r="S979" s="5">
        <f>+IF(R979=0,N979,IF($O$3-G979&lt;1,0,(($O$3-G979)*Q979)))</f>
        <v>5062.28</v>
      </c>
      <c r="T979" s="5">
        <f>+IF(R979=0,S979,S979+R979)</f>
        <v>5062.28</v>
      </c>
      <c r="U979" s="5">
        <f>+N979-T979</f>
        <v>0</v>
      </c>
    </row>
    <row r="981" spans="2:21">
      <c r="B981">
        <v>12</v>
      </c>
      <c r="C981" t="s">
        <v>506</v>
      </c>
      <c r="E981" t="s">
        <v>505</v>
      </c>
      <c r="G981">
        <v>2011</v>
      </c>
      <c r="H981">
        <v>1</v>
      </c>
      <c r="I981">
        <v>0</v>
      </c>
      <c r="J981" t="s">
        <v>30</v>
      </c>
      <c r="K981" s="45">
        <v>10</v>
      </c>
      <c r="L981">
        <f>G981+K981</f>
        <v>2021</v>
      </c>
      <c r="M981" s="15">
        <f>+L981+(H981/12)</f>
        <v>2021.0833333333333</v>
      </c>
      <c r="N981" s="5">
        <v>0</v>
      </c>
      <c r="O981" s="5">
        <f>N981-N981*I981</f>
        <v>0</v>
      </c>
      <c r="P981" s="5">
        <f>O981/K981/12</f>
        <v>0</v>
      </c>
      <c r="Q981" s="5">
        <f>P981*12</f>
        <v>0</v>
      </c>
      <c r="R981" s="5">
        <f>+IF(M981&lt;=$O$5,0,IF(L981&gt;$O$4,Q981,(P981*H981)))</f>
        <v>0</v>
      </c>
      <c r="S981" s="5">
        <f>+IF(R981=0,N981,IF($O$3-G981&lt;1,0,(($O$3-G981)*Q981)))</f>
        <v>0</v>
      </c>
      <c r="T981" s="5">
        <f>+IF(R981=0,S981,S981+R981)</f>
        <v>0</v>
      </c>
      <c r="U981" s="5">
        <f>+N981-T981</f>
        <v>0</v>
      </c>
    </row>
    <row r="983" spans="2:21">
      <c r="B983" s="12">
        <v>2</v>
      </c>
      <c r="C983" t="s">
        <v>84</v>
      </c>
      <c r="G983">
        <v>1993</v>
      </c>
      <c r="H983">
        <v>7</v>
      </c>
      <c r="I983">
        <v>0</v>
      </c>
      <c r="J983" t="s">
        <v>30</v>
      </c>
      <c r="K983" s="45" t="s">
        <v>35</v>
      </c>
      <c r="L983">
        <f t="shared" ref="L983:L1000" si="319">G983+K983</f>
        <v>2003</v>
      </c>
      <c r="M983" s="15">
        <f t="shared" ref="M983:M1000" si="320">+L983+(H983/12)</f>
        <v>2003.5833333333333</v>
      </c>
      <c r="N983" s="5">
        <v>8497</v>
      </c>
      <c r="O983" s="5">
        <f t="shared" ref="O983:O1000" si="321">N983-N983*I983</f>
        <v>8497</v>
      </c>
      <c r="P983" s="5">
        <f t="shared" ref="P983:P1000" si="322">O983/K983/12</f>
        <v>70.808333333333337</v>
      </c>
      <c r="Q983" s="5">
        <f t="shared" ref="Q983:Q1000" si="323">P983*12</f>
        <v>849.7</v>
      </c>
      <c r="R983" s="5">
        <f t="shared" ref="R983:R1000" si="324">+IF(M983&lt;=$O$5,0,IF(L983&gt;$O$4,Q983,(P983*H983)))</f>
        <v>0</v>
      </c>
      <c r="S983" s="5">
        <f t="shared" ref="S983:S1000" si="325">+IF(R983=0,N983,IF($O$3-G983&lt;1,0,(($O$3-G983)*Q983)))</f>
        <v>8497</v>
      </c>
      <c r="T983" s="5">
        <f t="shared" ref="T983:T1000" si="326">+IF(R983=0,S983,S983+R983)</f>
        <v>8497</v>
      </c>
      <c r="U983" s="5">
        <f t="shared" ref="U983:U1000" si="327">+N983-T983</f>
        <v>0</v>
      </c>
    </row>
    <row r="984" spans="2:21">
      <c r="B984" s="12">
        <v>1</v>
      </c>
      <c r="C984" t="s">
        <v>84</v>
      </c>
      <c r="G984">
        <v>1993</v>
      </c>
      <c r="H984">
        <v>7</v>
      </c>
      <c r="I984">
        <v>0</v>
      </c>
      <c r="J984" t="s">
        <v>30</v>
      </c>
      <c r="K984" s="45" t="s">
        <v>35</v>
      </c>
      <c r="L984">
        <f t="shared" si="319"/>
        <v>2003</v>
      </c>
      <c r="M984" s="15">
        <f t="shared" si="320"/>
        <v>2003.5833333333333</v>
      </c>
      <c r="N984" s="5">
        <v>5665</v>
      </c>
      <c r="O984" s="5">
        <f t="shared" si="321"/>
        <v>5665</v>
      </c>
      <c r="P984" s="5">
        <f t="shared" si="322"/>
        <v>47.208333333333336</v>
      </c>
      <c r="Q984" s="5">
        <f t="shared" si="323"/>
        <v>566.5</v>
      </c>
      <c r="R984" s="5">
        <f t="shared" si="324"/>
        <v>0</v>
      </c>
      <c r="S984" s="5">
        <f t="shared" si="325"/>
        <v>5665</v>
      </c>
      <c r="T984" s="5">
        <f t="shared" si="326"/>
        <v>5665</v>
      </c>
      <c r="U984" s="5">
        <f t="shared" si="327"/>
        <v>0</v>
      </c>
    </row>
    <row r="985" spans="2:21">
      <c r="B985" s="12">
        <v>2</v>
      </c>
      <c r="C985" t="s">
        <v>253</v>
      </c>
      <c r="G985">
        <v>1993</v>
      </c>
      <c r="H985">
        <v>7</v>
      </c>
      <c r="I985">
        <v>0</v>
      </c>
      <c r="J985" t="s">
        <v>30</v>
      </c>
      <c r="K985" s="45" t="s">
        <v>35</v>
      </c>
      <c r="L985">
        <f t="shared" si="319"/>
        <v>2003</v>
      </c>
      <c r="M985" s="15">
        <f t="shared" si="320"/>
        <v>2003.5833333333333</v>
      </c>
      <c r="N985" s="5">
        <v>5660</v>
      </c>
      <c r="O985" s="5">
        <f t="shared" si="321"/>
        <v>5660</v>
      </c>
      <c r="P985" s="5">
        <f t="shared" si="322"/>
        <v>47.166666666666664</v>
      </c>
      <c r="Q985" s="5">
        <f t="shared" si="323"/>
        <v>566</v>
      </c>
      <c r="R985" s="5">
        <f t="shared" si="324"/>
        <v>0</v>
      </c>
      <c r="S985" s="5">
        <f t="shared" si="325"/>
        <v>5660</v>
      </c>
      <c r="T985" s="5">
        <f t="shared" si="326"/>
        <v>5660</v>
      </c>
      <c r="U985" s="5">
        <f t="shared" si="327"/>
        <v>0</v>
      </c>
    </row>
    <row r="986" spans="2:21">
      <c r="B986" s="12">
        <v>1</v>
      </c>
      <c r="C986" t="s">
        <v>254</v>
      </c>
      <c r="G986">
        <v>1993</v>
      </c>
      <c r="H986">
        <v>7</v>
      </c>
      <c r="I986">
        <v>0</v>
      </c>
      <c r="J986" t="s">
        <v>30</v>
      </c>
      <c r="K986" s="45" t="s">
        <v>35</v>
      </c>
      <c r="L986">
        <f t="shared" si="319"/>
        <v>2003</v>
      </c>
      <c r="M986" s="15">
        <f t="shared" si="320"/>
        <v>2003.5833333333333</v>
      </c>
      <c r="N986" s="5">
        <v>2830</v>
      </c>
      <c r="O986" s="5">
        <f t="shared" si="321"/>
        <v>2830</v>
      </c>
      <c r="P986" s="5">
        <f t="shared" si="322"/>
        <v>23.583333333333332</v>
      </c>
      <c r="Q986" s="5">
        <f t="shared" si="323"/>
        <v>283</v>
      </c>
      <c r="R986" s="5">
        <f t="shared" si="324"/>
        <v>0</v>
      </c>
      <c r="S986" s="5">
        <f t="shared" si="325"/>
        <v>2830</v>
      </c>
      <c r="T986" s="5">
        <f t="shared" si="326"/>
        <v>2830</v>
      </c>
      <c r="U986" s="5">
        <f t="shared" si="327"/>
        <v>0</v>
      </c>
    </row>
    <row r="987" spans="2:21">
      <c r="B987" s="12">
        <v>1</v>
      </c>
      <c r="C987" t="s">
        <v>255</v>
      </c>
      <c r="G987">
        <v>1993</v>
      </c>
      <c r="H987">
        <v>7</v>
      </c>
      <c r="I987">
        <v>0</v>
      </c>
      <c r="J987" t="s">
        <v>30</v>
      </c>
      <c r="K987" s="45" t="s">
        <v>35</v>
      </c>
      <c r="L987">
        <f t="shared" si="319"/>
        <v>2003</v>
      </c>
      <c r="M987" s="15">
        <f t="shared" si="320"/>
        <v>2003.5833333333333</v>
      </c>
      <c r="N987" s="5">
        <v>2830</v>
      </c>
      <c r="O987" s="5">
        <f t="shared" si="321"/>
        <v>2830</v>
      </c>
      <c r="P987" s="5">
        <f t="shared" si="322"/>
        <v>23.583333333333332</v>
      </c>
      <c r="Q987" s="5">
        <f t="shared" si="323"/>
        <v>283</v>
      </c>
      <c r="R987" s="5">
        <f t="shared" si="324"/>
        <v>0</v>
      </c>
      <c r="S987" s="5">
        <f t="shared" si="325"/>
        <v>2830</v>
      </c>
      <c r="T987" s="5">
        <f t="shared" si="326"/>
        <v>2830</v>
      </c>
      <c r="U987" s="5">
        <f t="shared" si="327"/>
        <v>0</v>
      </c>
    </row>
    <row r="988" spans="2:21">
      <c r="B988" s="12">
        <v>1</v>
      </c>
      <c r="C988" t="s">
        <v>256</v>
      </c>
      <c r="G988">
        <v>1993</v>
      </c>
      <c r="H988">
        <v>7</v>
      </c>
      <c r="I988">
        <v>0</v>
      </c>
      <c r="J988" t="s">
        <v>30</v>
      </c>
      <c r="K988" s="45" t="s">
        <v>35</v>
      </c>
      <c r="L988">
        <f t="shared" si="319"/>
        <v>2003</v>
      </c>
      <c r="M988" s="15">
        <f t="shared" si="320"/>
        <v>2003.5833333333333</v>
      </c>
      <c r="N988" s="5">
        <v>2830</v>
      </c>
      <c r="O988" s="5">
        <f t="shared" si="321"/>
        <v>2830</v>
      </c>
      <c r="P988" s="5">
        <f t="shared" si="322"/>
        <v>23.583333333333332</v>
      </c>
      <c r="Q988" s="5">
        <f t="shared" si="323"/>
        <v>283</v>
      </c>
      <c r="R988" s="5">
        <f t="shared" si="324"/>
        <v>0</v>
      </c>
      <c r="S988" s="5">
        <f t="shared" si="325"/>
        <v>2830</v>
      </c>
      <c r="T988" s="5">
        <f t="shared" si="326"/>
        <v>2830</v>
      </c>
      <c r="U988" s="5">
        <f t="shared" si="327"/>
        <v>0</v>
      </c>
    </row>
    <row r="989" spans="2:21">
      <c r="B989" s="12">
        <v>4</v>
      </c>
      <c r="C989" t="s">
        <v>255</v>
      </c>
      <c r="G989">
        <v>1993</v>
      </c>
      <c r="H989">
        <v>8</v>
      </c>
      <c r="I989">
        <v>0</v>
      </c>
      <c r="J989" t="s">
        <v>30</v>
      </c>
      <c r="K989" s="45" t="s">
        <v>35</v>
      </c>
      <c r="L989">
        <f t="shared" si="319"/>
        <v>2003</v>
      </c>
      <c r="M989" s="15">
        <f t="shared" si="320"/>
        <v>2003.6666666666667</v>
      </c>
      <c r="N989" s="5">
        <v>11794</v>
      </c>
      <c r="O989" s="5">
        <f t="shared" si="321"/>
        <v>11794</v>
      </c>
      <c r="P989" s="5">
        <f t="shared" si="322"/>
        <v>98.283333333333346</v>
      </c>
      <c r="Q989" s="5">
        <f t="shared" si="323"/>
        <v>1179.4000000000001</v>
      </c>
      <c r="R989" s="5">
        <f t="shared" si="324"/>
        <v>0</v>
      </c>
      <c r="S989" s="5">
        <f t="shared" si="325"/>
        <v>11794</v>
      </c>
      <c r="T989" s="5">
        <f t="shared" si="326"/>
        <v>11794</v>
      </c>
      <c r="U989" s="5">
        <f t="shared" si="327"/>
        <v>0</v>
      </c>
    </row>
    <row r="990" spans="2:21">
      <c r="B990" s="12">
        <v>2</v>
      </c>
      <c r="C990" t="s">
        <v>84</v>
      </c>
      <c r="G990">
        <v>1993</v>
      </c>
      <c r="H990">
        <v>10</v>
      </c>
      <c r="I990">
        <v>0</v>
      </c>
      <c r="J990" t="s">
        <v>30</v>
      </c>
      <c r="K990" s="45" t="s">
        <v>35</v>
      </c>
      <c r="L990">
        <f t="shared" si="319"/>
        <v>2003</v>
      </c>
      <c r="M990" s="15">
        <f t="shared" si="320"/>
        <v>2003.8333333333333</v>
      </c>
      <c r="N990" s="5">
        <v>6708</v>
      </c>
      <c r="O990" s="5">
        <f t="shared" si="321"/>
        <v>6708</v>
      </c>
      <c r="P990" s="5">
        <f t="shared" si="322"/>
        <v>55.9</v>
      </c>
      <c r="Q990" s="5">
        <f t="shared" si="323"/>
        <v>670.8</v>
      </c>
      <c r="R990" s="5">
        <f t="shared" si="324"/>
        <v>0</v>
      </c>
      <c r="S990" s="5">
        <f t="shared" si="325"/>
        <v>6708</v>
      </c>
      <c r="T990" s="5">
        <f t="shared" si="326"/>
        <v>6708</v>
      </c>
      <c r="U990" s="5">
        <f t="shared" si="327"/>
        <v>0</v>
      </c>
    </row>
    <row r="991" spans="2:21">
      <c r="B991" s="12">
        <v>1</v>
      </c>
      <c r="C991" t="s">
        <v>250</v>
      </c>
      <c r="G991">
        <v>1994</v>
      </c>
      <c r="H991">
        <v>3</v>
      </c>
      <c r="I991">
        <v>0</v>
      </c>
      <c r="J991" t="s">
        <v>30</v>
      </c>
      <c r="K991" s="45" t="s">
        <v>35</v>
      </c>
      <c r="L991">
        <f t="shared" si="319"/>
        <v>2004</v>
      </c>
      <c r="M991" s="15">
        <f t="shared" si="320"/>
        <v>2004.25</v>
      </c>
      <c r="N991" s="5">
        <v>2368</v>
      </c>
      <c r="O991" s="5">
        <f t="shared" si="321"/>
        <v>2368</v>
      </c>
      <c r="P991" s="5">
        <f t="shared" si="322"/>
        <v>19.733333333333334</v>
      </c>
      <c r="Q991" s="5">
        <f t="shared" si="323"/>
        <v>236.8</v>
      </c>
      <c r="R991" s="5">
        <f t="shared" si="324"/>
        <v>0</v>
      </c>
      <c r="S991" s="5">
        <f t="shared" si="325"/>
        <v>2368</v>
      </c>
      <c r="T991" s="5">
        <f t="shared" si="326"/>
        <v>2368</v>
      </c>
      <c r="U991" s="5">
        <f t="shared" si="327"/>
        <v>0</v>
      </c>
    </row>
    <row r="992" spans="2:21">
      <c r="B992" s="12">
        <v>1</v>
      </c>
      <c r="C992" t="s">
        <v>250</v>
      </c>
      <c r="G992">
        <v>1994</v>
      </c>
      <c r="H992">
        <v>3</v>
      </c>
      <c r="I992">
        <v>0</v>
      </c>
      <c r="J992" t="s">
        <v>30</v>
      </c>
      <c r="K992" s="45" t="s">
        <v>35</v>
      </c>
      <c r="L992">
        <f t="shared" si="319"/>
        <v>2004</v>
      </c>
      <c r="M992" s="15">
        <f t="shared" si="320"/>
        <v>2004.25</v>
      </c>
      <c r="N992" s="5">
        <v>2368</v>
      </c>
      <c r="O992" s="5">
        <f t="shared" si="321"/>
        <v>2368</v>
      </c>
      <c r="P992" s="5">
        <f t="shared" si="322"/>
        <v>19.733333333333334</v>
      </c>
      <c r="Q992" s="5">
        <f t="shared" si="323"/>
        <v>236.8</v>
      </c>
      <c r="R992" s="5">
        <f t="shared" si="324"/>
        <v>0</v>
      </c>
      <c r="S992" s="5">
        <f t="shared" si="325"/>
        <v>2368</v>
      </c>
      <c r="T992" s="5">
        <f t="shared" si="326"/>
        <v>2368</v>
      </c>
      <c r="U992" s="5">
        <f t="shared" si="327"/>
        <v>0</v>
      </c>
    </row>
    <row r="993" spans="2:21">
      <c r="B993" s="12">
        <v>1</v>
      </c>
      <c r="C993" t="s">
        <v>250</v>
      </c>
      <c r="G993">
        <v>1994</v>
      </c>
      <c r="H993">
        <v>3</v>
      </c>
      <c r="I993">
        <v>0</v>
      </c>
      <c r="J993" t="s">
        <v>30</v>
      </c>
      <c r="K993" s="45" t="s">
        <v>35</v>
      </c>
      <c r="L993">
        <f t="shared" si="319"/>
        <v>2004</v>
      </c>
      <c r="M993" s="15">
        <f t="shared" si="320"/>
        <v>2004.25</v>
      </c>
      <c r="N993" s="5">
        <v>2320</v>
      </c>
      <c r="O993" s="5">
        <f t="shared" si="321"/>
        <v>2320</v>
      </c>
      <c r="P993" s="5">
        <f t="shared" si="322"/>
        <v>19.333333333333332</v>
      </c>
      <c r="Q993" s="5">
        <f t="shared" si="323"/>
        <v>232</v>
      </c>
      <c r="R993" s="5">
        <f t="shared" si="324"/>
        <v>0</v>
      </c>
      <c r="S993" s="5">
        <f t="shared" si="325"/>
        <v>2320</v>
      </c>
      <c r="T993" s="5">
        <f t="shared" si="326"/>
        <v>2320</v>
      </c>
      <c r="U993" s="5">
        <f t="shared" si="327"/>
        <v>0</v>
      </c>
    </row>
    <row r="994" spans="2:21">
      <c r="B994" s="12">
        <v>1</v>
      </c>
      <c r="C994" t="s">
        <v>252</v>
      </c>
      <c r="G994">
        <v>1994</v>
      </c>
      <c r="H994">
        <v>3</v>
      </c>
      <c r="I994">
        <v>0</v>
      </c>
      <c r="J994" t="s">
        <v>30</v>
      </c>
      <c r="K994" s="45" t="s">
        <v>35</v>
      </c>
      <c r="L994">
        <f t="shared" si="319"/>
        <v>2004</v>
      </c>
      <c r="M994" s="15">
        <f t="shared" si="320"/>
        <v>2004.25</v>
      </c>
      <c r="N994" s="5">
        <v>2833</v>
      </c>
      <c r="O994" s="5">
        <f t="shared" si="321"/>
        <v>2833</v>
      </c>
      <c r="P994" s="5">
        <f t="shared" si="322"/>
        <v>23.608333333333334</v>
      </c>
      <c r="Q994" s="5">
        <f t="shared" si="323"/>
        <v>283.3</v>
      </c>
      <c r="R994" s="5">
        <f t="shared" si="324"/>
        <v>0</v>
      </c>
      <c r="S994" s="5">
        <f t="shared" si="325"/>
        <v>2833</v>
      </c>
      <c r="T994" s="5">
        <f t="shared" si="326"/>
        <v>2833</v>
      </c>
      <c r="U994" s="5">
        <f t="shared" si="327"/>
        <v>0</v>
      </c>
    </row>
    <row r="995" spans="2:21">
      <c r="B995" s="12">
        <v>1</v>
      </c>
      <c r="C995" t="s">
        <v>252</v>
      </c>
      <c r="G995">
        <v>1994</v>
      </c>
      <c r="H995">
        <v>3</v>
      </c>
      <c r="I995">
        <v>0</v>
      </c>
      <c r="J995" t="s">
        <v>30</v>
      </c>
      <c r="K995" s="45" t="s">
        <v>35</v>
      </c>
      <c r="L995">
        <f t="shared" si="319"/>
        <v>2004</v>
      </c>
      <c r="M995" s="15">
        <f t="shared" si="320"/>
        <v>2004.25</v>
      </c>
      <c r="N995" s="5">
        <v>2832</v>
      </c>
      <c r="O995" s="5">
        <f t="shared" si="321"/>
        <v>2832</v>
      </c>
      <c r="P995" s="5">
        <f t="shared" si="322"/>
        <v>23.599999999999998</v>
      </c>
      <c r="Q995" s="5">
        <f t="shared" si="323"/>
        <v>283.2</v>
      </c>
      <c r="R995" s="5">
        <f t="shared" si="324"/>
        <v>0</v>
      </c>
      <c r="S995" s="5">
        <f t="shared" si="325"/>
        <v>2832</v>
      </c>
      <c r="T995" s="5">
        <f t="shared" si="326"/>
        <v>2832</v>
      </c>
      <c r="U995" s="5">
        <f t="shared" si="327"/>
        <v>0</v>
      </c>
    </row>
    <row r="996" spans="2:21">
      <c r="B996" s="12">
        <v>3</v>
      </c>
      <c r="C996" t="s">
        <v>249</v>
      </c>
      <c r="G996">
        <v>1994</v>
      </c>
      <c r="H996">
        <v>4</v>
      </c>
      <c r="I996">
        <v>0</v>
      </c>
      <c r="J996" t="s">
        <v>30</v>
      </c>
      <c r="K996" s="45" t="s">
        <v>35</v>
      </c>
      <c r="L996">
        <f t="shared" si="319"/>
        <v>2004</v>
      </c>
      <c r="M996" s="15">
        <f t="shared" si="320"/>
        <v>2004.3333333333333</v>
      </c>
      <c r="N996" s="5">
        <v>8020</v>
      </c>
      <c r="O996" s="5">
        <f t="shared" si="321"/>
        <v>8020</v>
      </c>
      <c r="P996" s="5">
        <f t="shared" si="322"/>
        <v>66.833333333333329</v>
      </c>
      <c r="Q996" s="5">
        <f t="shared" si="323"/>
        <v>802</v>
      </c>
      <c r="R996" s="5">
        <f t="shared" si="324"/>
        <v>0</v>
      </c>
      <c r="S996" s="5">
        <f t="shared" si="325"/>
        <v>8020</v>
      </c>
      <c r="T996" s="5">
        <f t="shared" si="326"/>
        <v>8020</v>
      </c>
      <c r="U996" s="5">
        <f t="shared" si="327"/>
        <v>0</v>
      </c>
    </row>
    <row r="997" spans="2:21">
      <c r="B997" s="12">
        <v>1</v>
      </c>
      <c r="C997" t="s">
        <v>84</v>
      </c>
      <c r="G997">
        <v>1994</v>
      </c>
      <c r="H997">
        <v>5</v>
      </c>
      <c r="I997">
        <v>0</v>
      </c>
      <c r="J997" t="s">
        <v>30</v>
      </c>
      <c r="K997" s="45" t="s">
        <v>35</v>
      </c>
      <c r="L997">
        <f t="shared" si="319"/>
        <v>2004</v>
      </c>
      <c r="M997" s="15">
        <f t="shared" si="320"/>
        <v>2004.4166666666667</v>
      </c>
      <c r="N997" s="5">
        <v>2320</v>
      </c>
      <c r="O997" s="5">
        <f t="shared" si="321"/>
        <v>2320</v>
      </c>
      <c r="P997" s="5">
        <f t="shared" si="322"/>
        <v>19.333333333333332</v>
      </c>
      <c r="Q997" s="5">
        <f t="shared" si="323"/>
        <v>232</v>
      </c>
      <c r="R997" s="5">
        <f t="shared" si="324"/>
        <v>0</v>
      </c>
      <c r="S997" s="5">
        <f t="shared" si="325"/>
        <v>2320</v>
      </c>
      <c r="T997" s="5">
        <f t="shared" si="326"/>
        <v>2320</v>
      </c>
      <c r="U997" s="5">
        <f t="shared" si="327"/>
        <v>0</v>
      </c>
    </row>
    <row r="998" spans="2:21">
      <c r="B998" s="12">
        <v>5</v>
      </c>
      <c r="C998" t="s">
        <v>84</v>
      </c>
      <c r="G998">
        <v>1994</v>
      </c>
      <c r="H998">
        <v>6</v>
      </c>
      <c r="I998">
        <v>0</v>
      </c>
      <c r="J998" t="s">
        <v>30</v>
      </c>
      <c r="K998" s="45" t="s">
        <v>35</v>
      </c>
      <c r="L998">
        <f t="shared" si="319"/>
        <v>2004</v>
      </c>
      <c r="M998" s="15">
        <f t="shared" si="320"/>
        <v>2004.5</v>
      </c>
      <c r="N998" s="5">
        <v>16771</v>
      </c>
      <c r="O998" s="5">
        <f t="shared" si="321"/>
        <v>16771</v>
      </c>
      <c r="P998" s="5">
        <f t="shared" si="322"/>
        <v>139.75833333333333</v>
      </c>
      <c r="Q998" s="5">
        <f t="shared" si="323"/>
        <v>1677.1</v>
      </c>
      <c r="R998" s="5">
        <f t="shared" si="324"/>
        <v>0</v>
      </c>
      <c r="S998" s="5">
        <f t="shared" si="325"/>
        <v>16771</v>
      </c>
      <c r="T998" s="5">
        <f t="shared" si="326"/>
        <v>16771</v>
      </c>
      <c r="U998" s="5">
        <f t="shared" si="327"/>
        <v>0</v>
      </c>
    </row>
    <row r="999" spans="2:21">
      <c r="B999" s="12">
        <v>2</v>
      </c>
      <c r="C999" t="s">
        <v>84</v>
      </c>
      <c r="G999">
        <v>1994</v>
      </c>
      <c r="H999">
        <v>6</v>
      </c>
      <c r="I999">
        <v>0</v>
      </c>
      <c r="J999" t="s">
        <v>30</v>
      </c>
      <c r="K999" s="45" t="s">
        <v>35</v>
      </c>
      <c r="L999">
        <f t="shared" si="319"/>
        <v>2004</v>
      </c>
      <c r="M999" s="15">
        <f t="shared" si="320"/>
        <v>2004.5</v>
      </c>
      <c r="N999" s="5">
        <v>5665</v>
      </c>
      <c r="O999" s="5">
        <f t="shared" si="321"/>
        <v>5665</v>
      </c>
      <c r="P999" s="5">
        <f t="shared" si="322"/>
        <v>47.208333333333336</v>
      </c>
      <c r="Q999" s="5">
        <f t="shared" si="323"/>
        <v>566.5</v>
      </c>
      <c r="R999" s="5">
        <f t="shared" si="324"/>
        <v>0</v>
      </c>
      <c r="S999" s="5">
        <f t="shared" si="325"/>
        <v>5665</v>
      </c>
      <c r="T999" s="5">
        <f t="shared" si="326"/>
        <v>5665</v>
      </c>
      <c r="U999" s="5">
        <f t="shared" si="327"/>
        <v>0</v>
      </c>
    </row>
    <row r="1000" spans="2:21">
      <c r="B1000" s="12">
        <v>2</v>
      </c>
      <c r="C1000" t="s">
        <v>84</v>
      </c>
      <c r="G1000">
        <v>1994</v>
      </c>
      <c r="H1000">
        <v>6</v>
      </c>
      <c r="I1000">
        <v>0</v>
      </c>
      <c r="J1000" t="s">
        <v>30</v>
      </c>
      <c r="K1000" s="45" t="s">
        <v>35</v>
      </c>
      <c r="L1000">
        <f t="shared" si="319"/>
        <v>2004</v>
      </c>
      <c r="M1000" s="15">
        <f t="shared" si="320"/>
        <v>2004.5</v>
      </c>
      <c r="N1000" s="5">
        <v>6708</v>
      </c>
      <c r="O1000" s="5">
        <f t="shared" si="321"/>
        <v>6708</v>
      </c>
      <c r="P1000" s="5">
        <f t="shared" si="322"/>
        <v>55.9</v>
      </c>
      <c r="Q1000" s="5">
        <f t="shared" si="323"/>
        <v>670.8</v>
      </c>
      <c r="R1000" s="5">
        <f t="shared" si="324"/>
        <v>0</v>
      </c>
      <c r="S1000" s="5">
        <f t="shared" si="325"/>
        <v>6708</v>
      </c>
      <c r="T1000" s="5">
        <f t="shared" si="326"/>
        <v>6708</v>
      </c>
      <c r="U1000" s="5">
        <f t="shared" si="327"/>
        <v>0</v>
      </c>
    </row>
    <row r="1002" spans="2:21">
      <c r="B1002">
        <f>SUM(B983:B1001)</f>
        <v>32</v>
      </c>
      <c r="C1002" t="s">
        <v>1174</v>
      </c>
    </row>
    <row r="1004" spans="2:21">
      <c r="B1004" s="12">
        <v>24</v>
      </c>
      <c r="C1004" t="s">
        <v>504</v>
      </c>
      <c r="E1004" t="s">
        <v>507</v>
      </c>
      <c r="G1004">
        <v>2011</v>
      </c>
      <c r="H1004">
        <v>1</v>
      </c>
      <c r="I1004">
        <v>0</v>
      </c>
      <c r="J1004" t="s">
        <v>30</v>
      </c>
      <c r="K1004" s="45">
        <v>10</v>
      </c>
      <c r="L1004">
        <f t="shared" ref="L1004:L1012" si="328">G1004+K1004</f>
        <v>2021</v>
      </c>
      <c r="M1004" s="15">
        <f t="shared" ref="M1004:M1012" si="329">+L1004+(H1004/12)</f>
        <v>2021.0833333333333</v>
      </c>
      <c r="N1004" s="5">
        <v>0</v>
      </c>
      <c r="O1004" s="5">
        <f t="shared" ref="O1004:O1012" si="330">N1004-N1004*I1004</f>
        <v>0</v>
      </c>
      <c r="P1004" s="5">
        <f t="shared" ref="P1004:P1012" si="331">O1004/K1004/12</f>
        <v>0</v>
      </c>
      <c r="Q1004" s="5">
        <f t="shared" ref="Q1004:Q1012" si="332">P1004*12</f>
        <v>0</v>
      </c>
      <c r="R1004" s="5">
        <f t="shared" ref="R1004:R1012" si="333">+IF(M1004&lt;=$O$5,0,IF(L1004&gt;$O$4,Q1004,(P1004*H1004)))</f>
        <v>0</v>
      </c>
      <c r="S1004" s="5">
        <f t="shared" ref="S1004:S1012" si="334">+IF(R1004=0,N1004,IF($O$3-G1004&lt;1,0,(($O$3-G1004)*Q1004)))</f>
        <v>0</v>
      </c>
      <c r="T1004" s="5">
        <f t="shared" ref="T1004:T1012" si="335">+IF(R1004=0,S1004,S1004+R1004)</f>
        <v>0</v>
      </c>
      <c r="U1004" s="5">
        <f t="shared" ref="U1004:U1012" si="336">+N1004-T1004</f>
        <v>0</v>
      </c>
    </row>
    <row r="1005" spans="2:21">
      <c r="B1005" s="12">
        <v>1</v>
      </c>
      <c r="C1005" t="s">
        <v>504</v>
      </c>
      <c r="G1005">
        <v>1992</v>
      </c>
      <c r="H1005">
        <v>5</v>
      </c>
      <c r="I1005">
        <v>0</v>
      </c>
      <c r="J1005" t="s">
        <v>30</v>
      </c>
      <c r="K1005" s="45" t="s">
        <v>35</v>
      </c>
      <c r="L1005">
        <f t="shared" si="328"/>
        <v>2002</v>
      </c>
      <c r="M1005" s="15">
        <f t="shared" si="329"/>
        <v>2002.4166666666667</v>
      </c>
      <c r="N1005" s="5">
        <v>3435</v>
      </c>
      <c r="O1005" s="5">
        <f t="shared" si="330"/>
        <v>3435</v>
      </c>
      <c r="P1005" s="5">
        <f t="shared" si="331"/>
        <v>28.625</v>
      </c>
      <c r="Q1005" s="5">
        <f t="shared" si="332"/>
        <v>343.5</v>
      </c>
      <c r="R1005" s="5">
        <f t="shared" si="333"/>
        <v>0</v>
      </c>
      <c r="S1005" s="5">
        <f t="shared" si="334"/>
        <v>3435</v>
      </c>
      <c r="T1005" s="5">
        <f t="shared" si="335"/>
        <v>3435</v>
      </c>
      <c r="U1005" s="5">
        <f t="shared" si="336"/>
        <v>0</v>
      </c>
    </row>
    <row r="1006" spans="2:21">
      <c r="B1006" s="12">
        <v>2</v>
      </c>
      <c r="C1006" t="s">
        <v>564</v>
      </c>
      <c r="G1006">
        <v>1993</v>
      </c>
      <c r="H1006">
        <v>2</v>
      </c>
      <c r="I1006">
        <v>0</v>
      </c>
      <c r="J1006" t="s">
        <v>30</v>
      </c>
      <c r="K1006" s="45" t="s">
        <v>35</v>
      </c>
      <c r="L1006">
        <f t="shared" si="328"/>
        <v>2003</v>
      </c>
      <c r="M1006" s="15">
        <f t="shared" si="329"/>
        <v>2003.1666666666667</v>
      </c>
      <c r="N1006" s="5">
        <v>5660</v>
      </c>
      <c r="O1006" s="5">
        <f t="shared" si="330"/>
        <v>5660</v>
      </c>
      <c r="P1006" s="5">
        <f t="shared" si="331"/>
        <v>47.166666666666664</v>
      </c>
      <c r="Q1006" s="5">
        <f t="shared" si="332"/>
        <v>566</v>
      </c>
      <c r="R1006" s="5">
        <f t="shared" si="333"/>
        <v>0</v>
      </c>
      <c r="S1006" s="5">
        <f t="shared" si="334"/>
        <v>5660</v>
      </c>
      <c r="T1006" s="5">
        <f t="shared" si="335"/>
        <v>5660</v>
      </c>
      <c r="U1006" s="5">
        <f t="shared" si="336"/>
        <v>0</v>
      </c>
    </row>
    <row r="1007" spans="2:21">
      <c r="B1007" s="12">
        <v>8</v>
      </c>
      <c r="C1007" t="s">
        <v>504</v>
      </c>
      <c r="G1007">
        <v>1993</v>
      </c>
      <c r="H1007">
        <v>3</v>
      </c>
      <c r="I1007">
        <v>0</v>
      </c>
      <c r="J1007" t="s">
        <v>30</v>
      </c>
      <c r="K1007" s="45" t="s">
        <v>35</v>
      </c>
      <c r="L1007">
        <f t="shared" si="328"/>
        <v>2003</v>
      </c>
      <c r="M1007" s="15">
        <f t="shared" si="329"/>
        <v>2003.25</v>
      </c>
      <c r="N1007" s="5">
        <v>20342</v>
      </c>
      <c r="O1007" s="5">
        <f t="shared" si="330"/>
        <v>20342</v>
      </c>
      <c r="P1007" s="5">
        <f t="shared" si="331"/>
        <v>169.51666666666668</v>
      </c>
      <c r="Q1007" s="5">
        <f t="shared" si="332"/>
        <v>2034.2000000000003</v>
      </c>
      <c r="R1007" s="5">
        <f t="shared" si="333"/>
        <v>0</v>
      </c>
      <c r="S1007" s="5">
        <f t="shared" si="334"/>
        <v>20342</v>
      </c>
      <c r="T1007" s="5">
        <f t="shared" si="335"/>
        <v>20342</v>
      </c>
      <c r="U1007" s="5">
        <f t="shared" si="336"/>
        <v>0</v>
      </c>
    </row>
    <row r="1008" spans="2:21">
      <c r="B1008" s="12">
        <v>2</v>
      </c>
      <c r="C1008" t="s">
        <v>504</v>
      </c>
      <c r="G1008">
        <v>1993</v>
      </c>
      <c r="H1008">
        <v>4</v>
      </c>
      <c r="I1008">
        <v>0</v>
      </c>
      <c r="J1008" t="s">
        <v>30</v>
      </c>
      <c r="K1008" s="45" t="s">
        <v>35</v>
      </c>
      <c r="L1008">
        <f t="shared" si="328"/>
        <v>2003</v>
      </c>
      <c r="M1008" s="15">
        <f t="shared" si="329"/>
        <v>2003.3333333333333</v>
      </c>
      <c r="N1008" s="5">
        <v>4517</v>
      </c>
      <c r="O1008" s="5">
        <f t="shared" si="330"/>
        <v>4517</v>
      </c>
      <c r="P1008" s="5">
        <f t="shared" si="331"/>
        <v>37.641666666666666</v>
      </c>
      <c r="Q1008" s="5">
        <f t="shared" si="332"/>
        <v>451.7</v>
      </c>
      <c r="R1008" s="5">
        <f t="shared" si="333"/>
        <v>0</v>
      </c>
      <c r="S1008" s="5">
        <f t="shared" si="334"/>
        <v>4517</v>
      </c>
      <c r="T1008" s="5">
        <f t="shared" si="335"/>
        <v>4517</v>
      </c>
      <c r="U1008" s="5">
        <f t="shared" si="336"/>
        <v>0</v>
      </c>
    </row>
    <row r="1009" spans="1:21">
      <c r="B1009" s="12">
        <v>1</v>
      </c>
      <c r="C1009" t="s">
        <v>565</v>
      </c>
      <c r="G1009">
        <v>1993</v>
      </c>
      <c r="H1009">
        <v>5</v>
      </c>
      <c r="I1009">
        <v>0</v>
      </c>
      <c r="J1009" t="s">
        <v>30</v>
      </c>
      <c r="K1009" s="45" t="s">
        <v>35</v>
      </c>
      <c r="L1009">
        <f t="shared" si="328"/>
        <v>2003</v>
      </c>
      <c r="M1009" s="15">
        <f t="shared" si="329"/>
        <v>2003.4166666666667</v>
      </c>
      <c r="N1009" s="5">
        <v>2830</v>
      </c>
      <c r="O1009" s="5">
        <f t="shared" si="330"/>
        <v>2830</v>
      </c>
      <c r="P1009" s="5">
        <f t="shared" si="331"/>
        <v>23.583333333333332</v>
      </c>
      <c r="Q1009" s="5">
        <f t="shared" si="332"/>
        <v>283</v>
      </c>
      <c r="R1009" s="5">
        <f t="shared" si="333"/>
        <v>0</v>
      </c>
      <c r="S1009" s="5">
        <f t="shared" si="334"/>
        <v>2830</v>
      </c>
      <c r="T1009" s="5">
        <f t="shared" si="335"/>
        <v>2830</v>
      </c>
      <c r="U1009" s="5">
        <f t="shared" si="336"/>
        <v>0</v>
      </c>
    </row>
    <row r="1010" spans="1:21">
      <c r="B1010" s="12">
        <v>1</v>
      </c>
      <c r="C1010" t="s">
        <v>566</v>
      </c>
      <c r="G1010">
        <v>1993</v>
      </c>
      <c r="H1010">
        <v>5</v>
      </c>
      <c r="I1010">
        <v>0</v>
      </c>
      <c r="J1010" t="s">
        <v>30</v>
      </c>
      <c r="K1010" s="45" t="s">
        <v>35</v>
      </c>
      <c r="L1010">
        <f t="shared" si="328"/>
        <v>2003</v>
      </c>
      <c r="M1010" s="15">
        <f t="shared" si="329"/>
        <v>2003.4166666666667</v>
      </c>
      <c r="N1010" s="5">
        <v>2830</v>
      </c>
      <c r="O1010" s="5">
        <f t="shared" si="330"/>
        <v>2830</v>
      </c>
      <c r="P1010" s="5">
        <f t="shared" si="331"/>
        <v>23.583333333333332</v>
      </c>
      <c r="Q1010" s="5">
        <f t="shared" si="332"/>
        <v>283</v>
      </c>
      <c r="R1010" s="5">
        <f t="shared" si="333"/>
        <v>0</v>
      </c>
      <c r="S1010" s="5">
        <f t="shared" si="334"/>
        <v>2830</v>
      </c>
      <c r="T1010" s="5">
        <f t="shared" si="335"/>
        <v>2830</v>
      </c>
      <c r="U1010" s="5">
        <f t="shared" si="336"/>
        <v>0</v>
      </c>
    </row>
    <row r="1011" spans="1:21">
      <c r="B1011" s="12">
        <v>1</v>
      </c>
      <c r="C1011" t="s">
        <v>567</v>
      </c>
      <c r="G1011">
        <v>1993</v>
      </c>
      <c r="H1011">
        <v>6</v>
      </c>
      <c r="I1011">
        <v>0</v>
      </c>
      <c r="J1011" t="s">
        <v>30</v>
      </c>
      <c r="K1011" s="45" t="s">
        <v>35</v>
      </c>
      <c r="L1011">
        <f t="shared" si="328"/>
        <v>2003</v>
      </c>
      <c r="M1011" s="15">
        <f t="shared" si="329"/>
        <v>2003.5</v>
      </c>
      <c r="N1011" s="5">
        <v>2832</v>
      </c>
      <c r="O1011" s="5">
        <f t="shared" si="330"/>
        <v>2832</v>
      </c>
      <c r="P1011" s="5">
        <f t="shared" si="331"/>
        <v>23.599999999999998</v>
      </c>
      <c r="Q1011" s="5">
        <f t="shared" si="332"/>
        <v>283.2</v>
      </c>
      <c r="R1011" s="5">
        <f t="shared" si="333"/>
        <v>0</v>
      </c>
      <c r="S1011" s="5">
        <f t="shared" si="334"/>
        <v>2832</v>
      </c>
      <c r="T1011" s="5">
        <f t="shared" si="335"/>
        <v>2832</v>
      </c>
      <c r="U1011" s="5">
        <f t="shared" si="336"/>
        <v>0</v>
      </c>
    </row>
    <row r="1012" spans="1:21">
      <c r="B1012" s="12">
        <v>1</v>
      </c>
      <c r="C1012" t="s">
        <v>568</v>
      </c>
      <c r="G1012">
        <v>1993</v>
      </c>
      <c r="H1012">
        <v>6</v>
      </c>
      <c r="I1012">
        <v>0</v>
      </c>
      <c r="J1012" t="s">
        <v>30</v>
      </c>
      <c r="K1012" s="45" t="s">
        <v>35</v>
      </c>
      <c r="L1012">
        <f t="shared" si="328"/>
        <v>2003</v>
      </c>
      <c r="M1012" s="15">
        <f t="shared" si="329"/>
        <v>2003.5</v>
      </c>
      <c r="N1012" s="5">
        <v>2830</v>
      </c>
      <c r="O1012" s="5">
        <f t="shared" si="330"/>
        <v>2830</v>
      </c>
      <c r="P1012" s="5">
        <f t="shared" si="331"/>
        <v>23.583333333333332</v>
      </c>
      <c r="Q1012" s="5">
        <f t="shared" si="332"/>
        <v>283</v>
      </c>
      <c r="R1012" s="5">
        <f t="shared" si="333"/>
        <v>0</v>
      </c>
      <c r="S1012" s="5">
        <f t="shared" si="334"/>
        <v>2830</v>
      </c>
      <c r="T1012" s="5">
        <f t="shared" si="335"/>
        <v>2830</v>
      </c>
      <c r="U1012" s="5">
        <f t="shared" si="336"/>
        <v>0</v>
      </c>
    </row>
    <row r="1014" spans="1:21">
      <c r="B1014">
        <f>SUM(B1004:B1013)</f>
        <v>41</v>
      </c>
      <c r="C1014" s="2" t="s">
        <v>1175</v>
      </c>
    </row>
    <row r="1016" spans="1:21">
      <c r="A1016" s="12"/>
      <c r="B1016" s="12">
        <v>1</v>
      </c>
      <c r="C1016" t="s">
        <v>98</v>
      </c>
      <c r="G1016">
        <v>1990</v>
      </c>
      <c r="H1016">
        <v>7</v>
      </c>
      <c r="I1016">
        <v>0</v>
      </c>
      <c r="J1016" t="s">
        <v>30</v>
      </c>
      <c r="K1016" s="45" t="s">
        <v>35</v>
      </c>
      <c r="L1016">
        <f t="shared" ref="L1016:L1047" si="337">G1016+K1016</f>
        <v>2000</v>
      </c>
      <c r="M1016" s="15">
        <f t="shared" ref="M1016:M1047" si="338">+L1016+(H1016/12)</f>
        <v>2000.5833333333333</v>
      </c>
      <c r="N1016" s="5">
        <v>7135</v>
      </c>
      <c r="O1016" s="5">
        <f t="shared" ref="O1016:O1047" si="339">N1016-N1016*I1016</f>
        <v>7135</v>
      </c>
      <c r="P1016" s="5">
        <f t="shared" ref="P1016:P1047" si="340">O1016/K1016/12</f>
        <v>59.458333333333336</v>
      </c>
      <c r="Q1016" s="5">
        <f t="shared" ref="Q1016:Q1047" si="341">P1016*12</f>
        <v>713.5</v>
      </c>
      <c r="R1016" s="5">
        <f t="shared" ref="R1016:R1047" si="342">+IF(M1016&lt;=$O$5,0,IF(L1016&gt;$O$4,Q1016,(P1016*H1016)))</f>
        <v>0</v>
      </c>
      <c r="S1016" s="5">
        <f t="shared" ref="S1016:S1047" si="343">+IF(R1016=0,N1016,IF($O$3-G1016&lt;1,0,(($O$3-G1016)*Q1016)))</f>
        <v>7135</v>
      </c>
      <c r="T1016" s="5">
        <f t="shared" ref="T1016:T1047" si="344">+IF(R1016=0,S1016,S1016+R1016)</f>
        <v>7135</v>
      </c>
      <c r="U1016" s="5">
        <f t="shared" ref="U1016:U1047" si="345">+N1016-T1016</f>
        <v>0</v>
      </c>
    </row>
    <row r="1017" spans="1:21">
      <c r="A1017" s="12"/>
      <c r="B1017" s="12">
        <v>1</v>
      </c>
      <c r="C1017" t="s">
        <v>100</v>
      </c>
      <c r="G1017">
        <v>1991</v>
      </c>
      <c r="H1017">
        <v>7</v>
      </c>
      <c r="I1017">
        <v>0</v>
      </c>
      <c r="J1017" t="s">
        <v>30</v>
      </c>
      <c r="K1017" s="45" t="s">
        <v>35</v>
      </c>
      <c r="L1017">
        <f t="shared" si="337"/>
        <v>2001</v>
      </c>
      <c r="M1017" s="15">
        <f t="shared" si="338"/>
        <v>2001.5833333333333</v>
      </c>
      <c r="N1017" s="5">
        <v>3868</v>
      </c>
      <c r="O1017" s="5">
        <f t="shared" si="339"/>
        <v>3868</v>
      </c>
      <c r="P1017" s="5">
        <f t="shared" si="340"/>
        <v>32.233333333333334</v>
      </c>
      <c r="Q1017" s="5">
        <f t="shared" si="341"/>
        <v>386.8</v>
      </c>
      <c r="R1017" s="5">
        <f t="shared" si="342"/>
        <v>0</v>
      </c>
      <c r="S1017" s="5">
        <f t="shared" si="343"/>
        <v>3868</v>
      </c>
      <c r="T1017" s="5">
        <f t="shared" si="344"/>
        <v>3868</v>
      </c>
      <c r="U1017" s="5">
        <f t="shared" si="345"/>
        <v>0</v>
      </c>
    </row>
    <row r="1018" spans="1:21">
      <c r="A1018" s="12"/>
      <c r="B1018" s="12">
        <v>1</v>
      </c>
      <c r="C1018" t="s">
        <v>100</v>
      </c>
      <c r="G1018">
        <v>1991</v>
      </c>
      <c r="H1018">
        <v>11</v>
      </c>
      <c r="I1018">
        <v>0</v>
      </c>
      <c r="J1018" t="s">
        <v>30</v>
      </c>
      <c r="K1018" s="45" t="s">
        <v>35</v>
      </c>
      <c r="L1018">
        <f t="shared" si="337"/>
        <v>2001</v>
      </c>
      <c r="M1018" s="15">
        <f t="shared" si="338"/>
        <v>2001.9166666666667</v>
      </c>
      <c r="N1018" s="5">
        <v>3868</v>
      </c>
      <c r="O1018" s="5">
        <f t="shared" si="339"/>
        <v>3868</v>
      </c>
      <c r="P1018" s="5">
        <f t="shared" si="340"/>
        <v>32.233333333333334</v>
      </c>
      <c r="Q1018" s="5">
        <f t="shared" si="341"/>
        <v>386.8</v>
      </c>
      <c r="R1018" s="5">
        <f t="shared" si="342"/>
        <v>0</v>
      </c>
      <c r="S1018" s="5">
        <f t="shared" si="343"/>
        <v>3868</v>
      </c>
      <c r="T1018" s="5">
        <f t="shared" si="344"/>
        <v>3868</v>
      </c>
      <c r="U1018" s="5">
        <f t="shared" si="345"/>
        <v>0</v>
      </c>
    </row>
    <row r="1019" spans="1:21">
      <c r="A1019" s="12"/>
      <c r="B1019" s="12">
        <v>1</v>
      </c>
      <c r="C1019" t="s">
        <v>101</v>
      </c>
      <c r="G1019">
        <v>1993</v>
      </c>
      <c r="H1019">
        <v>2</v>
      </c>
      <c r="I1019">
        <v>0</v>
      </c>
      <c r="J1019" t="s">
        <v>30</v>
      </c>
      <c r="K1019" s="45" t="s">
        <v>35</v>
      </c>
      <c r="L1019">
        <f t="shared" si="337"/>
        <v>2003</v>
      </c>
      <c r="M1019" s="15">
        <f t="shared" si="338"/>
        <v>2003.1666666666667</v>
      </c>
      <c r="N1019" s="5">
        <v>3110</v>
      </c>
      <c r="O1019" s="5">
        <f t="shared" si="339"/>
        <v>3110</v>
      </c>
      <c r="P1019" s="5">
        <f t="shared" si="340"/>
        <v>25.916666666666668</v>
      </c>
      <c r="Q1019" s="5">
        <f t="shared" si="341"/>
        <v>311</v>
      </c>
      <c r="R1019" s="5">
        <f t="shared" si="342"/>
        <v>0</v>
      </c>
      <c r="S1019" s="5">
        <f t="shared" si="343"/>
        <v>3110</v>
      </c>
      <c r="T1019" s="5">
        <f t="shared" si="344"/>
        <v>3110</v>
      </c>
      <c r="U1019" s="5">
        <f t="shared" si="345"/>
        <v>0</v>
      </c>
    </row>
    <row r="1020" spans="1:21">
      <c r="A1020" s="12"/>
      <c r="B1020" s="12">
        <v>2</v>
      </c>
      <c r="C1020" t="s">
        <v>102</v>
      </c>
      <c r="G1020">
        <v>1993</v>
      </c>
      <c r="H1020">
        <v>2</v>
      </c>
      <c r="I1020">
        <v>0</v>
      </c>
      <c r="J1020" t="s">
        <v>30</v>
      </c>
      <c r="K1020" s="45" t="s">
        <v>35</v>
      </c>
      <c r="L1020">
        <f t="shared" si="337"/>
        <v>2003</v>
      </c>
      <c r="M1020" s="15">
        <f t="shared" si="338"/>
        <v>2003.1666666666667</v>
      </c>
      <c r="N1020" s="5">
        <v>6220</v>
      </c>
      <c r="O1020" s="5">
        <f t="shared" si="339"/>
        <v>6220</v>
      </c>
      <c r="P1020" s="5">
        <f t="shared" si="340"/>
        <v>51.833333333333336</v>
      </c>
      <c r="Q1020" s="5">
        <f t="shared" si="341"/>
        <v>622</v>
      </c>
      <c r="R1020" s="5">
        <f t="shared" si="342"/>
        <v>0</v>
      </c>
      <c r="S1020" s="5">
        <f t="shared" si="343"/>
        <v>6220</v>
      </c>
      <c r="T1020" s="5">
        <f t="shared" si="344"/>
        <v>6220</v>
      </c>
      <c r="U1020" s="5">
        <f t="shared" si="345"/>
        <v>0</v>
      </c>
    </row>
    <row r="1021" spans="1:21">
      <c r="A1021" s="12"/>
      <c r="B1021" s="12">
        <v>1</v>
      </c>
      <c r="C1021" t="s">
        <v>100</v>
      </c>
      <c r="G1021">
        <v>1993</v>
      </c>
      <c r="H1021">
        <v>3</v>
      </c>
      <c r="I1021">
        <v>0</v>
      </c>
      <c r="J1021" t="s">
        <v>30</v>
      </c>
      <c r="K1021" s="45" t="s">
        <v>35</v>
      </c>
      <c r="L1021">
        <f t="shared" si="337"/>
        <v>2003</v>
      </c>
      <c r="M1021" s="15">
        <f t="shared" si="338"/>
        <v>2003.25</v>
      </c>
      <c r="N1021" s="5">
        <v>4030.45</v>
      </c>
      <c r="O1021" s="5">
        <f t="shared" si="339"/>
        <v>4030.45</v>
      </c>
      <c r="P1021" s="5">
        <f t="shared" si="340"/>
        <v>33.587083333333332</v>
      </c>
      <c r="Q1021" s="5">
        <f t="shared" si="341"/>
        <v>403.04499999999996</v>
      </c>
      <c r="R1021" s="5">
        <f t="shared" si="342"/>
        <v>0</v>
      </c>
      <c r="S1021" s="5">
        <f t="shared" si="343"/>
        <v>4030.45</v>
      </c>
      <c r="T1021" s="5">
        <f t="shared" si="344"/>
        <v>4030.45</v>
      </c>
      <c r="U1021" s="5">
        <f t="shared" si="345"/>
        <v>0</v>
      </c>
    </row>
    <row r="1022" spans="1:21">
      <c r="A1022" s="12"/>
      <c r="B1022" s="12">
        <v>2</v>
      </c>
      <c r="C1022" t="s">
        <v>100</v>
      </c>
      <c r="G1022">
        <v>1993</v>
      </c>
      <c r="H1022">
        <v>5</v>
      </c>
      <c r="I1022">
        <v>0</v>
      </c>
      <c r="J1022" t="s">
        <v>30</v>
      </c>
      <c r="K1022" s="45" t="s">
        <v>35</v>
      </c>
      <c r="L1022">
        <f t="shared" si="337"/>
        <v>2003</v>
      </c>
      <c r="M1022" s="15">
        <f t="shared" si="338"/>
        <v>2003.4166666666667</v>
      </c>
      <c r="N1022" s="5">
        <v>8115</v>
      </c>
      <c r="O1022" s="5">
        <f t="shared" si="339"/>
        <v>8115</v>
      </c>
      <c r="P1022" s="5">
        <f t="shared" si="340"/>
        <v>67.625</v>
      </c>
      <c r="Q1022" s="5">
        <f t="shared" si="341"/>
        <v>811.5</v>
      </c>
      <c r="R1022" s="5">
        <f t="shared" si="342"/>
        <v>0</v>
      </c>
      <c r="S1022" s="5">
        <f t="shared" si="343"/>
        <v>8115</v>
      </c>
      <c r="T1022" s="5">
        <f t="shared" si="344"/>
        <v>8115</v>
      </c>
      <c r="U1022" s="5">
        <f t="shared" si="345"/>
        <v>0</v>
      </c>
    </row>
    <row r="1023" spans="1:21">
      <c r="A1023" s="12"/>
      <c r="B1023" s="12">
        <v>1</v>
      </c>
      <c r="C1023" t="s">
        <v>105</v>
      </c>
      <c r="G1023">
        <v>1993</v>
      </c>
      <c r="H1023">
        <v>5</v>
      </c>
      <c r="I1023">
        <v>0</v>
      </c>
      <c r="J1023" t="s">
        <v>30</v>
      </c>
      <c r="K1023" s="45" t="s">
        <v>35</v>
      </c>
      <c r="L1023">
        <f t="shared" si="337"/>
        <v>2003</v>
      </c>
      <c r="M1023" s="15">
        <f t="shared" si="338"/>
        <v>2003.4166666666667</v>
      </c>
      <c r="N1023" s="5">
        <v>3110</v>
      </c>
      <c r="O1023" s="5">
        <f t="shared" si="339"/>
        <v>3110</v>
      </c>
      <c r="P1023" s="5">
        <f t="shared" si="340"/>
        <v>25.916666666666668</v>
      </c>
      <c r="Q1023" s="5">
        <f t="shared" si="341"/>
        <v>311</v>
      </c>
      <c r="R1023" s="5">
        <f t="shared" si="342"/>
        <v>0</v>
      </c>
      <c r="S1023" s="5">
        <f t="shared" si="343"/>
        <v>3110</v>
      </c>
      <c r="T1023" s="5">
        <f t="shared" si="344"/>
        <v>3110</v>
      </c>
      <c r="U1023" s="5">
        <f t="shared" si="345"/>
        <v>0</v>
      </c>
    </row>
    <row r="1024" spans="1:21">
      <c r="A1024" s="12"/>
      <c r="B1024" s="12">
        <v>2</v>
      </c>
      <c r="C1024" t="s">
        <v>107</v>
      </c>
      <c r="G1024">
        <v>1993</v>
      </c>
      <c r="H1024">
        <v>5</v>
      </c>
      <c r="I1024">
        <v>0</v>
      </c>
      <c r="J1024" t="s">
        <v>30</v>
      </c>
      <c r="K1024" s="45" t="s">
        <v>35</v>
      </c>
      <c r="L1024">
        <f t="shared" si="337"/>
        <v>2003</v>
      </c>
      <c r="M1024" s="15">
        <f t="shared" si="338"/>
        <v>2003.4166666666667</v>
      </c>
      <c r="N1024" s="5">
        <v>7033</v>
      </c>
      <c r="O1024" s="5">
        <f t="shared" si="339"/>
        <v>7033</v>
      </c>
      <c r="P1024" s="5">
        <f t="shared" si="340"/>
        <v>58.608333333333327</v>
      </c>
      <c r="Q1024" s="5">
        <f t="shared" si="341"/>
        <v>703.3</v>
      </c>
      <c r="R1024" s="5">
        <f t="shared" si="342"/>
        <v>0</v>
      </c>
      <c r="S1024" s="5">
        <f t="shared" si="343"/>
        <v>7033</v>
      </c>
      <c r="T1024" s="5">
        <f t="shared" si="344"/>
        <v>7033</v>
      </c>
      <c r="U1024" s="5">
        <f t="shared" si="345"/>
        <v>0</v>
      </c>
    </row>
    <row r="1025" spans="1:21">
      <c r="A1025" s="12"/>
      <c r="B1025" s="12">
        <v>1</v>
      </c>
      <c r="C1025" t="s">
        <v>107</v>
      </c>
      <c r="G1025">
        <v>1993</v>
      </c>
      <c r="H1025">
        <v>5</v>
      </c>
      <c r="I1025">
        <v>0</v>
      </c>
      <c r="J1025" t="s">
        <v>30</v>
      </c>
      <c r="K1025" s="45" t="s">
        <v>35</v>
      </c>
      <c r="L1025">
        <f t="shared" si="337"/>
        <v>2003</v>
      </c>
      <c r="M1025" s="15">
        <f t="shared" si="338"/>
        <v>2003.4166666666667</v>
      </c>
      <c r="N1025" s="5">
        <v>3110</v>
      </c>
      <c r="O1025" s="5">
        <f t="shared" si="339"/>
        <v>3110</v>
      </c>
      <c r="P1025" s="5">
        <f t="shared" si="340"/>
        <v>25.916666666666668</v>
      </c>
      <c r="Q1025" s="5">
        <f t="shared" si="341"/>
        <v>311</v>
      </c>
      <c r="R1025" s="5">
        <f t="shared" si="342"/>
        <v>0</v>
      </c>
      <c r="S1025" s="5">
        <f t="shared" si="343"/>
        <v>3110</v>
      </c>
      <c r="T1025" s="5">
        <f t="shared" si="344"/>
        <v>3110</v>
      </c>
      <c r="U1025" s="5">
        <f t="shared" si="345"/>
        <v>0</v>
      </c>
    </row>
    <row r="1026" spans="1:21">
      <c r="A1026" s="12"/>
      <c r="B1026" s="12">
        <v>2</v>
      </c>
      <c r="C1026" t="s">
        <v>108</v>
      </c>
      <c r="G1026">
        <v>1993</v>
      </c>
      <c r="H1026">
        <v>5</v>
      </c>
      <c r="I1026">
        <v>0</v>
      </c>
      <c r="J1026" t="s">
        <v>30</v>
      </c>
      <c r="K1026" s="45" t="s">
        <v>35</v>
      </c>
      <c r="L1026">
        <f t="shared" si="337"/>
        <v>2003</v>
      </c>
      <c r="M1026" s="15">
        <f t="shared" si="338"/>
        <v>2003.4166666666667</v>
      </c>
      <c r="N1026" s="5">
        <v>6220</v>
      </c>
      <c r="O1026" s="5">
        <f t="shared" si="339"/>
        <v>6220</v>
      </c>
      <c r="P1026" s="5">
        <f t="shared" si="340"/>
        <v>51.833333333333336</v>
      </c>
      <c r="Q1026" s="5">
        <f t="shared" si="341"/>
        <v>622</v>
      </c>
      <c r="R1026" s="5">
        <f t="shared" si="342"/>
        <v>0</v>
      </c>
      <c r="S1026" s="5">
        <f t="shared" si="343"/>
        <v>6220</v>
      </c>
      <c r="T1026" s="5">
        <f t="shared" si="344"/>
        <v>6220</v>
      </c>
      <c r="U1026" s="5">
        <f t="shared" si="345"/>
        <v>0</v>
      </c>
    </row>
    <row r="1027" spans="1:21">
      <c r="A1027" s="12"/>
      <c r="B1027" s="12">
        <v>1</v>
      </c>
      <c r="C1027" t="s">
        <v>105</v>
      </c>
      <c r="G1027">
        <v>1993</v>
      </c>
      <c r="H1027">
        <v>6</v>
      </c>
      <c r="I1027">
        <v>0</v>
      </c>
      <c r="J1027" t="s">
        <v>30</v>
      </c>
      <c r="K1027" s="45" t="s">
        <v>35</v>
      </c>
      <c r="L1027">
        <f t="shared" si="337"/>
        <v>2003</v>
      </c>
      <c r="M1027" s="15">
        <f t="shared" si="338"/>
        <v>2003.5</v>
      </c>
      <c r="N1027" s="5">
        <v>3110</v>
      </c>
      <c r="O1027" s="5">
        <f t="shared" si="339"/>
        <v>3110</v>
      </c>
      <c r="P1027" s="5">
        <f t="shared" si="340"/>
        <v>25.916666666666668</v>
      </c>
      <c r="Q1027" s="5">
        <f t="shared" si="341"/>
        <v>311</v>
      </c>
      <c r="R1027" s="5">
        <f t="shared" si="342"/>
        <v>0</v>
      </c>
      <c r="S1027" s="5">
        <f t="shared" si="343"/>
        <v>3110</v>
      </c>
      <c r="T1027" s="5">
        <f t="shared" si="344"/>
        <v>3110</v>
      </c>
      <c r="U1027" s="5">
        <f t="shared" si="345"/>
        <v>0</v>
      </c>
    </row>
    <row r="1028" spans="1:21">
      <c r="A1028" s="12"/>
      <c r="B1028" s="12">
        <v>1</v>
      </c>
      <c r="C1028" t="s">
        <v>106</v>
      </c>
      <c r="G1028">
        <v>1993</v>
      </c>
      <c r="H1028">
        <v>6</v>
      </c>
      <c r="I1028">
        <v>0</v>
      </c>
      <c r="J1028" t="s">
        <v>30</v>
      </c>
      <c r="K1028" s="45" t="s">
        <v>35</v>
      </c>
      <c r="L1028">
        <f t="shared" si="337"/>
        <v>2003</v>
      </c>
      <c r="M1028" s="15">
        <f t="shared" si="338"/>
        <v>2003.5</v>
      </c>
      <c r="N1028" s="5">
        <v>3110</v>
      </c>
      <c r="O1028" s="5">
        <f t="shared" si="339"/>
        <v>3110</v>
      </c>
      <c r="P1028" s="5">
        <f t="shared" si="340"/>
        <v>25.916666666666668</v>
      </c>
      <c r="Q1028" s="5">
        <f t="shared" si="341"/>
        <v>311</v>
      </c>
      <c r="R1028" s="5">
        <f t="shared" si="342"/>
        <v>0</v>
      </c>
      <c r="S1028" s="5">
        <f t="shared" si="343"/>
        <v>3110</v>
      </c>
      <c r="T1028" s="5">
        <f t="shared" si="344"/>
        <v>3110</v>
      </c>
      <c r="U1028" s="5">
        <f t="shared" si="345"/>
        <v>0</v>
      </c>
    </row>
    <row r="1029" spans="1:21">
      <c r="A1029" s="12"/>
      <c r="B1029" s="12">
        <v>1</v>
      </c>
      <c r="C1029" t="s">
        <v>106</v>
      </c>
      <c r="G1029">
        <v>1993</v>
      </c>
      <c r="H1029">
        <v>6</v>
      </c>
      <c r="I1029">
        <v>0</v>
      </c>
      <c r="J1029" t="s">
        <v>30</v>
      </c>
      <c r="K1029" s="45" t="s">
        <v>35</v>
      </c>
      <c r="L1029">
        <f t="shared" si="337"/>
        <v>2003</v>
      </c>
      <c r="M1029" s="15">
        <f t="shared" si="338"/>
        <v>2003.5</v>
      </c>
      <c r="N1029" s="5">
        <v>3110</v>
      </c>
      <c r="O1029" s="5">
        <f t="shared" si="339"/>
        <v>3110</v>
      </c>
      <c r="P1029" s="5">
        <f t="shared" si="340"/>
        <v>25.916666666666668</v>
      </c>
      <c r="Q1029" s="5">
        <f t="shared" si="341"/>
        <v>311</v>
      </c>
      <c r="R1029" s="5">
        <f t="shared" si="342"/>
        <v>0</v>
      </c>
      <c r="S1029" s="5">
        <f t="shared" si="343"/>
        <v>3110</v>
      </c>
      <c r="T1029" s="5">
        <f t="shared" si="344"/>
        <v>3110</v>
      </c>
      <c r="U1029" s="5">
        <f t="shared" si="345"/>
        <v>0</v>
      </c>
    </row>
    <row r="1030" spans="1:21">
      <c r="A1030" s="12"/>
      <c r="B1030" s="12">
        <v>1</v>
      </c>
      <c r="C1030" t="s">
        <v>102</v>
      </c>
      <c r="G1030">
        <v>1993</v>
      </c>
      <c r="H1030">
        <v>7</v>
      </c>
      <c r="I1030">
        <v>0</v>
      </c>
      <c r="J1030" t="s">
        <v>30</v>
      </c>
      <c r="K1030" s="45" t="s">
        <v>35</v>
      </c>
      <c r="L1030">
        <f t="shared" si="337"/>
        <v>2003</v>
      </c>
      <c r="M1030" s="15">
        <f t="shared" si="338"/>
        <v>2003.5833333333333</v>
      </c>
      <c r="N1030" s="5">
        <v>3110</v>
      </c>
      <c r="O1030" s="5">
        <f t="shared" si="339"/>
        <v>3110</v>
      </c>
      <c r="P1030" s="5">
        <f t="shared" si="340"/>
        <v>25.916666666666668</v>
      </c>
      <c r="Q1030" s="5">
        <f t="shared" si="341"/>
        <v>311</v>
      </c>
      <c r="R1030" s="5">
        <f t="shared" si="342"/>
        <v>0</v>
      </c>
      <c r="S1030" s="5">
        <f t="shared" si="343"/>
        <v>3110</v>
      </c>
      <c r="T1030" s="5">
        <f t="shared" si="344"/>
        <v>3110</v>
      </c>
      <c r="U1030" s="5">
        <f t="shared" si="345"/>
        <v>0</v>
      </c>
    </row>
    <row r="1031" spans="1:21">
      <c r="A1031" s="12"/>
      <c r="B1031" s="12">
        <v>1</v>
      </c>
      <c r="C1031" t="s">
        <v>104</v>
      </c>
      <c r="G1031">
        <v>1993</v>
      </c>
      <c r="H1031">
        <v>7</v>
      </c>
      <c r="I1031">
        <v>0</v>
      </c>
      <c r="J1031" t="s">
        <v>30</v>
      </c>
      <c r="K1031" s="45" t="s">
        <v>35</v>
      </c>
      <c r="L1031">
        <f t="shared" si="337"/>
        <v>2003</v>
      </c>
      <c r="M1031" s="15">
        <f t="shared" si="338"/>
        <v>2003.5833333333333</v>
      </c>
      <c r="N1031" s="5">
        <v>3110</v>
      </c>
      <c r="O1031" s="5">
        <f t="shared" si="339"/>
        <v>3110</v>
      </c>
      <c r="P1031" s="5">
        <f t="shared" si="340"/>
        <v>25.916666666666668</v>
      </c>
      <c r="Q1031" s="5">
        <f t="shared" si="341"/>
        <v>311</v>
      </c>
      <c r="R1031" s="5">
        <f t="shared" si="342"/>
        <v>0</v>
      </c>
      <c r="S1031" s="5">
        <f t="shared" si="343"/>
        <v>3110</v>
      </c>
      <c r="T1031" s="5">
        <f t="shared" si="344"/>
        <v>3110</v>
      </c>
      <c r="U1031" s="5">
        <f t="shared" si="345"/>
        <v>0</v>
      </c>
    </row>
    <row r="1032" spans="1:21">
      <c r="A1032" s="12"/>
      <c r="B1032" s="12">
        <v>4</v>
      </c>
      <c r="C1032" t="s">
        <v>108</v>
      </c>
      <c r="G1032">
        <v>1993</v>
      </c>
      <c r="H1032">
        <v>10</v>
      </c>
      <c r="I1032">
        <v>0</v>
      </c>
      <c r="J1032" t="s">
        <v>30</v>
      </c>
      <c r="K1032" s="45" t="s">
        <v>35</v>
      </c>
      <c r="L1032">
        <f t="shared" si="337"/>
        <v>2003</v>
      </c>
      <c r="M1032" s="15">
        <f t="shared" si="338"/>
        <v>2003.8333333333333</v>
      </c>
      <c r="N1032" s="5">
        <v>14627</v>
      </c>
      <c r="O1032" s="5">
        <f t="shared" si="339"/>
        <v>14627</v>
      </c>
      <c r="P1032" s="5">
        <f t="shared" si="340"/>
        <v>121.89166666666667</v>
      </c>
      <c r="Q1032" s="5">
        <f t="shared" si="341"/>
        <v>1462.7</v>
      </c>
      <c r="R1032" s="5">
        <f t="shared" si="342"/>
        <v>0</v>
      </c>
      <c r="S1032" s="5">
        <f t="shared" si="343"/>
        <v>14627</v>
      </c>
      <c r="T1032" s="5">
        <f t="shared" si="344"/>
        <v>14627</v>
      </c>
      <c r="U1032" s="5">
        <f t="shared" si="345"/>
        <v>0</v>
      </c>
    </row>
    <row r="1033" spans="1:21">
      <c r="B1033" s="12">
        <v>1</v>
      </c>
      <c r="C1033" t="s">
        <v>101</v>
      </c>
      <c r="G1033">
        <v>1994</v>
      </c>
      <c r="H1033">
        <v>3</v>
      </c>
      <c r="I1033">
        <v>0</v>
      </c>
      <c r="J1033" t="s">
        <v>30</v>
      </c>
      <c r="K1033" s="45" t="s">
        <v>35</v>
      </c>
      <c r="L1033">
        <f t="shared" si="337"/>
        <v>2004</v>
      </c>
      <c r="M1033" s="15">
        <f t="shared" si="338"/>
        <v>2004.25</v>
      </c>
      <c r="N1033" s="5">
        <v>3113</v>
      </c>
      <c r="O1033" s="5">
        <f t="shared" si="339"/>
        <v>3113</v>
      </c>
      <c r="P1033" s="5">
        <f t="shared" si="340"/>
        <v>25.941666666666666</v>
      </c>
      <c r="Q1033" s="5">
        <f t="shared" si="341"/>
        <v>311.3</v>
      </c>
      <c r="R1033" s="5">
        <f t="shared" si="342"/>
        <v>0</v>
      </c>
      <c r="S1033" s="5">
        <f t="shared" si="343"/>
        <v>3113</v>
      </c>
      <c r="T1033" s="5">
        <f t="shared" si="344"/>
        <v>3113</v>
      </c>
      <c r="U1033" s="5">
        <f t="shared" si="345"/>
        <v>0</v>
      </c>
    </row>
    <row r="1034" spans="1:21">
      <c r="B1034" s="12">
        <v>1</v>
      </c>
      <c r="C1034" t="s">
        <v>263</v>
      </c>
      <c r="G1034">
        <v>1994</v>
      </c>
      <c r="H1034">
        <v>4</v>
      </c>
      <c r="I1034">
        <v>0</v>
      </c>
      <c r="J1034" t="s">
        <v>30</v>
      </c>
      <c r="K1034" s="45" t="s">
        <v>35</v>
      </c>
      <c r="L1034">
        <f t="shared" si="337"/>
        <v>2004</v>
      </c>
      <c r="M1034" s="15">
        <f t="shared" si="338"/>
        <v>2004.3333333333333</v>
      </c>
      <c r="N1034" s="5">
        <v>2832</v>
      </c>
      <c r="O1034" s="5">
        <f t="shared" si="339"/>
        <v>2832</v>
      </c>
      <c r="P1034" s="5">
        <f t="shared" si="340"/>
        <v>23.599999999999998</v>
      </c>
      <c r="Q1034" s="5">
        <f t="shared" si="341"/>
        <v>283.2</v>
      </c>
      <c r="R1034" s="5">
        <f t="shared" si="342"/>
        <v>0</v>
      </c>
      <c r="S1034" s="5">
        <f t="shared" si="343"/>
        <v>2832</v>
      </c>
      <c r="T1034" s="5">
        <f t="shared" si="344"/>
        <v>2832</v>
      </c>
      <c r="U1034" s="5">
        <f t="shared" si="345"/>
        <v>0</v>
      </c>
    </row>
    <row r="1035" spans="1:21">
      <c r="B1035" s="12">
        <v>1</v>
      </c>
      <c r="C1035" t="s">
        <v>263</v>
      </c>
      <c r="G1035">
        <v>1994</v>
      </c>
      <c r="H1035">
        <v>5</v>
      </c>
      <c r="I1035">
        <v>0</v>
      </c>
      <c r="J1035" t="s">
        <v>30</v>
      </c>
      <c r="K1035" s="45" t="s">
        <v>35</v>
      </c>
      <c r="L1035">
        <f t="shared" si="337"/>
        <v>2004</v>
      </c>
      <c r="M1035" s="15">
        <f t="shared" si="338"/>
        <v>2004.4166666666667</v>
      </c>
      <c r="N1035" s="5">
        <v>2832</v>
      </c>
      <c r="O1035" s="5">
        <f t="shared" si="339"/>
        <v>2832</v>
      </c>
      <c r="P1035" s="5">
        <f t="shared" si="340"/>
        <v>23.599999999999998</v>
      </c>
      <c r="Q1035" s="5">
        <f t="shared" si="341"/>
        <v>283.2</v>
      </c>
      <c r="R1035" s="5">
        <f t="shared" si="342"/>
        <v>0</v>
      </c>
      <c r="S1035" s="5">
        <f t="shared" si="343"/>
        <v>2832</v>
      </c>
      <c r="T1035" s="5">
        <f t="shared" si="344"/>
        <v>2832</v>
      </c>
      <c r="U1035" s="5">
        <f t="shared" si="345"/>
        <v>0</v>
      </c>
    </row>
    <row r="1036" spans="1:21">
      <c r="B1036" s="12">
        <v>3</v>
      </c>
      <c r="C1036" t="s">
        <v>100</v>
      </c>
      <c r="G1036">
        <v>1994</v>
      </c>
      <c r="H1036">
        <v>7</v>
      </c>
      <c r="I1036">
        <v>0</v>
      </c>
      <c r="J1036" t="s">
        <v>30</v>
      </c>
      <c r="K1036" s="45" t="s">
        <v>35</v>
      </c>
      <c r="L1036">
        <f t="shared" si="337"/>
        <v>2004</v>
      </c>
      <c r="M1036" s="15">
        <f t="shared" si="338"/>
        <v>2004.5833333333333</v>
      </c>
      <c r="N1036" s="5">
        <v>8277</v>
      </c>
      <c r="O1036" s="5">
        <f t="shared" si="339"/>
        <v>8277</v>
      </c>
      <c r="P1036" s="5">
        <f t="shared" si="340"/>
        <v>68.975000000000009</v>
      </c>
      <c r="Q1036" s="5">
        <f t="shared" si="341"/>
        <v>827.7</v>
      </c>
      <c r="R1036" s="5">
        <f t="shared" si="342"/>
        <v>0</v>
      </c>
      <c r="S1036" s="5">
        <f t="shared" si="343"/>
        <v>8277</v>
      </c>
      <c r="T1036" s="5">
        <f t="shared" si="344"/>
        <v>8277</v>
      </c>
      <c r="U1036" s="5">
        <f t="shared" si="345"/>
        <v>0</v>
      </c>
    </row>
    <row r="1037" spans="1:21">
      <c r="B1037" s="12">
        <v>2</v>
      </c>
      <c r="C1037" t="s">
        <v>103</v>
      </c>
      <c r="G1037">
        <v>1994</v>
      </c>
      <c r="H1037">
        <v>9</v>
      </c>
      <c r="I1037">
        <v>0</v>
      </c>
      <c r="J1037" t="s">
        <v>30</v>
      </c>
      <c r="K1037" s="45" t="s">
        <v>35</v>
      </c>
      <c r="L1037">
        <f t="shared" si="337"/>
        <v>2004</v>
      </c>
      <c r="M1037" s="15">
        <f t="shared" si="338"/>
        <v>2004.75</v>
      </c>
      <c r="N1037" s="5">
        <v>7304</v>
      </c>
      <c r="O1037" s="5">
        <f t="shared" si="339"/>
        <v>7304</v>
      </c>
      <c r="P1037" s="5">
        <f t="shared" si="340"/>
        <v>60.866666666666667</v>
      </c>
      <c r="Q1037" s="5">
        <f t="shared" si="341"/>
        <v>730.4</v>
      </c>
      <c r="R1037" s="5">
        <f t="shared" si="342"/>
        <v>0</v>
      </c>
      <c r="S1037" s="5">
        <f t="shared" si="343"/>
        <v>7304</v>
      </c>
      <c r="T1037" s="5">
        <f t="shared" si="344"/>
        <v>7304</v>
      </c>
      <c r="U1037" s="5">
        <f t="shared" si="345"/>
        <v>0</v>
      </c>
    </row>
    <row r="1038" spans="1:21">
      <c r="B1038" s="12">
        <v>2</v>
      </c>
      <c r="C1038" t="s">
        <v>100</v>
      </c>
      <c r="G1038">
        <v>1994</v>
      </c>
      <c r="H1038">
        <v>10</v>
      </c>
      <c r="I1038">
        <v>0</v>
      </c>
      <c r="J1038" t="s">
        <v>30</v>
      </c>
      <c r="K1038" s="45" t="s">
        <v>35</v>
      </c>
      <c r="L1038">
        <f t="shared" si="337"/>
        <v>2004</v>
      </c>
      <c r="M1038" s="15">
        <f t="shared" si="338"/>
        <v>2004.8333333333333</v>
      </c>
      <c r="N1038" s="5">
        <v>10955</v>
      </c>
      <c r="O1038" s="5">
        <f t="shared" si="339"/>
        <v>10955</v>
      </c>
      <c r="P1038" s="5">
        <f t="shared" si="340"/>
        <v>91.291666666666671</v>
      </c>
      <c r="Q1038" s="5">
        <f t="shared" si="341"/>
        <v>1095.5</v>
      </c>
      <c r="R1038" s="5">
        <f t="shared" si="342"/>
        <v>0</v>
      </c>
      <c r="S1038" s="5">
        <f t="shared" si="343"/>
        <v>10955</v>
      </c>
      <c r="T1038" s="5">
        <f t="shared" si="344"/>
        <v>10955</v>
      </c>
      <c r="U1038" s="5">
        <f t="shared" si="345"/>
        <v>0</v>
      </c>
    </row>
    <row r="1039" spans="1:21">
      <c r="B1039" s="12">
        <v>1</v>
      </c>
      <c r="C1039" t="s">
        <v>100</v>
      </c>
      <c r="G1039">
        <v>1995</v>
      </c>
      <c r="H1039">
        <v>1</v>
      </c>
      <c r="I1039">
        <v>0</v>
      </c>
      <c r="J1039" t="s">
        <v>30</v>
      </c>
      <c r="K1039" s="45" t="s">
        <v>35</v>
      </c>
      <c r="L1039">
        <f t="shared" si="337"/>
        <v>2005</v>
      </c>
      <c r="M1039" s="15">
        <f t="shared" si="338"/>
        <v>2005.0833333333333</v>
      </c>
      <c r="N1039" s="5">
        <v>3128</v>
      </c>
      <c r="O1039" s="5">
        <f t="shared" si="339"/>
        <v>3128</v>
      </c>
      <c r="P1039" s="5">
        <f t="shared" si="340"/>
        <v>26.066666666666666</v>
      </c>
      <c r="Q1039" s="5">
        <f t="shared" si="341"/>
        <v>312.8</v>
      </c>
      <c r="R1039" s="5">
        <f t="shared" si="342"/>
        <v>0</v>
      </c>
      <c r="S1039" s="5">
        <f t="shared" si="343"/>
        <v>3128</v>
      </c>
      <c r="T1039" s="5">
        <f t="shared" si="344"/>
        <v>3128</v>
      </c>
      <c r="U1039" s="5">
        <f t="shared" si="345"/>
        <v>0</v>
      </c>
    </row>
    <row r="1040" spans="1:21">
      <c r="B1040" s="12">
        <v>1</v>
      </c>
      <c r="C1040" t="s">
        <v>100</v>
      </c>
      <c r="G1040">
        <v>1995</v>
      </c>
      <c r="H1040">
        <v>1</v>
      </c>
      <c r="I1040">
        <v>0</v>
      </c>
      <c r="J1040" t="s">
        <v>30</v>
      </c>
      <c r="K1040" s="45" t="s">
        <v>35</v>
      </c>
      <c r="L1040">
        <f t="shared" si="337"/>
        <v>2005</v>
      </c>
      <c r="M1040" s="15">
        <f t="shared" si="338"/>
        <v>2005.0833333333333</v>
      </c>
      <c r="N1040" s="5">
        <v>3128</v>
      </c>
      <c r="O1040" s="5">
        <f t="shared" si="339"/>
        <v>3128</v>
      </c>
      <c r="P1040" s="5">
        <f t="shared" si="340"/>
        <v>26.066666666666666</v>
      </c>
      <c r="Q1040" s="5">
        <f t="shared" si="341"/>
        <v>312.8</v>
      </c>
      <c r="R1040" s="5">
        <f t="shared" si="342"/>
        <v>0</v>
      </c>
      <c r="S1040" s="5">
        <f t="shared" si="343"/>
        <v>3128</v>
      </c>
      <c r="T1040" s="5">
        <f t="shared" si="344"/>
        <v>3128</v>
      </c>
      <c r="U1040" s="5">
        <f t="shared" si="345"/>
        <v>0</v>
      </c>
    </row>
    <row r="1041" spans="2:21">
      <c r="B1041" s="12">
        <v>3</v>
      </c>
      <c r="C1041" t="s">
        <v>266</v>
      </c>
      <c r="G1041">
        <v>1995</v>
      </c>
      <c r="H1041">
        <v>2</v>
      </c>
      <c r="I1041">
        <v>0</v>
      </c>
      <c r="J1041" t="s">
        <v>30</v>
      </c>
      <c r="K1041" s="45" t="s">
        <v>35</v>
      </c>
      <c r="L1041">
        <f t="shared" si="337"/>
        <v>2005</v>
      </c>
      <c r="M1041" s="15">
        <f t="shared" si="338"/>
        <v>2005.1666666666667</v>
      </c>
      <c r="N1041" s="5">
        <v>11020</v>
      </c>
      <c r="O1041" s="5">
        <f t="shared" si="339"/>
        <v>11020</v>
      </c>
      <c r="P1041" s="5">
        <f t="shared" si="340"/>
        <v>91.833333333333329</v>
      </c>
      <c r="Q1041" s="5">
        <f t="shared" si="341"/>
        <v>1102</v>
      </c>
      <c r="R1041" s="5">
        <f t="shared" si="342"/>
        <v>0</v>
      </c>
      <c r="S1041" s="5">
        <f t="shared" si="343"/>
        <v>11020</v>
      </c>
      <c r="T1041" s="5">
        <f t="shared" si="344"/>
        <v>11020</v>
      </c>
      <c r="U1041" s="5">
        <f t="shared" si="345"/>
        <v>0</v>
      </c>
    </row>
    <row r="1042" spans="2:21">
      <c r="B1042" s="12">
        <v>2</v>
      </c>
      <c r="C1042" t="s">
        <v>100</v>
      </c>
      <c r="G1042">
        <v>1995</v>
      </c>
      <c r="H1042">
        <v>2</v>
      </c>
      <c r="I1042">
        <v>0</v>
      </c>
      <c r="J1042" t="s">
        <v>30</v>
      </c>
      <c r="K1042" s="45" t="s">
        <v>35</v>
      </c>
      <c r="L1042">
        <f t="shared" si="337"/>
        <v>2005</v>
      </c>
      <c r="M1042" s="15">
        <f t="shared" si="338"/>
        <v>2005.1666666666667</v>
      </c>
      <c r="N1042" s="5">
        <v>11020</v>
      </c>
      <c r="O1042" s="5">
        <f t="shared" si="339"/>
        <v>11020</v>
      </c>
      <c r="P1042" s="5">
        <f t="shared" si="340"/>
        <v>91.833333333333329</v>
      </c>
      <c r="Q1042" s="5">
        <f t="shared" si="341"/>
        <v>1102</v>
      </c>
      <c r="R1042" s="5">
        <f t="shared" si="342"/>
        <v>0</v>
      </c>
      <c r="S1042" s="5">
        <f t="shared" si="343"/>
        <v>11020</v>
      </c>
      <c r="T1042" s="5">
        <f t="shared" si="344"/>
        <v>11020</v>
      </c>
      <c r="U1042" s="5">
        <f t="shared" si="345"/>
        <v>0</v>
      </c>
    </row>
    <row r="1043" spans="2:21">
      <c r="B1043" s="12">
        <v>4</v>
      </c>
      <c r="C1043" t="s">
        <v>569</v>
      </c>
      <c r="G1043">
        <v>1995</v>
      </c>
      <c r="H1043">
        <v>4</v>
      </c>
      <c r="I1043">
        <v>0</v>
      </c>
      <c r="J1043" t="s">
        <v>30</v>
      </c>
      <c r="K1043" s="45" t="s">
        <v>35</v>
      </c>
      <c r="L1043">
        <f t="shared" si="337"/>
        <v>2005</v>
      </c>
      <c r="M1043" s="15">
        <f t="shared" si="338"/>
        <v>2005.3333333333333</v>
      </c>
      <c r="N1043" s="5">
        <v>13806</v>
      </c>
      <c r="O1043" s="5">
        <f t="shared" si="339"/>
        <v>13806</v>
      </c>
      <c r="P1043" s="5">
        <f t="shared" si="340"/>
        <v>115.05</v>
      </c>
      <c r="Q1043" s="5">
        <f t="shared" si="341"/>
        <v>1380.6</v>
      </c>
      <c r="R1043" s="5">
        <f t="shared" si="342"/>
        <v>0</v>
      </c>
      <c r="S1043" s="5">
        <f t="shared" si="343"/>
        <v>13806</v>
      </c>
      <c r="T1043" s="5">
        <f t="shared" si="344"/>
        <v>13806</v>
      </c>
      <c r="U1043" s="5">
        <f t="shared" si="345"/>
        <v>0</v>
      </c>
    </row>
    <row r="1044" spans="2:21">
      <c r="B1044" s="12">
        <v>1</v>
      </c>
      <c r="C1044" t="s">
        <v>100</v>
      </c>
      <c r="G1044">
        <v>1995</v>
      </c>
      <c r="H1044">
        <v>5</v>
      </c>
      <c r="I1044">
        <v>0</v>
      </c>
      <c r="J1044" t="s">
        <v>30</v>
      </c>
      <c r="K1044" s="45" t="s">
        <v>35</v>
      </c>
      <c r="L1044">
        <f t="shared" si="337"/>
        <v>2005</v>
      </c>
      <c r="M1044" s="15">
        <f t="shared" si="338"/>
        <v>2005.4166666666667</v>
      </c>
      <c r="N1044" s="5">
        <v>1645.48</v>
      </c>
      <c r="O1044" s="5">
        <f t="shared" si="339"/>
        <v>1645.48</v>
      </c>
      <c r="P1044" s="5">
        <f t="shared" si="340"/>
        <v>13.712333333333333</v>
      </c>
      <c r="Q1044" s="5">
        <f t="shared" si="341"/>
        <v>164.548</v>
      </c>
      <c r="R1044" s="5">
        <f t="shared" si="342"/>
        <v>0</v>
      </c>
      <c r="S1044" s="5">
        <f t="shared" si="343"/>
        <v>1645.48</v>
      </c>
      <c r="T1044" s="5">
        <f t="shared" si="344"/>
        <v>1645.48</v>
      </c>
      <c r="U1044" s="5">
        <f t="shared" si="345"/>
        <v>0</v>
      </c>
    </row>
    <row r="1045" spans="2:21">
      <c r="B1045" s="12">
        <v>3</v>
      </c>
      <c r="C1045" t="s">
        <v>100</v>
      </c>
      <c r="G1045">
        <v>1995</v>
      </c>
      <c r="H1045">
        <v>8</v>
      </c>
      <c r="I1045">
        <v>0</v>
      </c>
      <c r="J1045" t="s">
        <v>30</v>
      </c>
      <c r="K1045" s="45" t="s">
        <v>35</v>
      </c>
      <c r="L1045">
        <f t="shared" si="337"/>
        <v>2005</v>
      </c>
      <c r="M1045" s="15">
        <f t="shared" si="338"/>
        <v>2005.6666666666667</v>
      </c>
      <c r="N1045" s="5">
        <v>8724</v>
      </c>
      <c r="O1045" s="5">
        <f t="shared" si="339"/>
        <v>8724</v>
      </c>
      <c r="P1045" s="5">
        <f t="shared" si="340"/>
        <v>72.7</v>
      </c>
      <c r="Q1045" s="5">
        <f t="shared" si="341"/>
        <v>872.40000000000009</v>
      </c>
      <c r="R1045" s="5">
        <f t="shared" si="342"/>
        <v>0</v>
      </c>
      <c r="S1045" s="5">
        <f t="shared" si="343"/>
        <v>8724</v>
      </c>
      <c r="T1045" s="5">
        <f t="shared" si="344"/>
        <v>8724</v>
      </c>
      <c r="U1045" s="5">
        <f t="shared" si="345"/>
        <v>0</v>
      </c>
    </row>
    <row r="1046" spans="2:21">
      <c r="B1046" s="12">
        <v>5</v>
      </c>
      <c r="C1046" t="s">
        <v>100</v>
      </c>
      <c r="G1046">
        <v>1996</v>
      </c>
      <c r="H1046">
        <v>4</v>
      </c>
      <c r="I1046">
        <v>0</v>
      </c>
      <c r="J1046" t="s">
        <v>30</v>
      </c>
      <c r="K1046" s="45" t="s">
        <v>35</v>
      </c>
      <c r="L1046">
        <f t="shared" si="337"/>
        <v>2006</v>
      </c>
      <c r="M1046" s="15">
        <f t="shared" si="338"/>
        <v>2006.3333333333333</v>
      </c>
      <c r="N1046" s="5">
        <v>14472</v>
      </c>
      <c r="O1046" s="5">
        <f t="shared" si="339"/>
        <v>14472</v>
      </c>
      <c r="P1046" s="5">
        <f t="shared" si="340"/>
        <v>120.60000000000001</v>
      </c>
      <c r="Q1046" s="5">
        <f t="shared" si="341"/>
        <v>1447.2</v>
      </c>
      <c r="R1046" s="5">
        <f t="shared" si="342"/>
        <v>0</v>
      </c>
      <c r="S1046" s="5">
        <f t="shared" si="343"/>
        <v>14472</v>
      </c>
      <c r="T1046" s="5">
        <f t="shared" si="344"/>
        <v>14472</v>
      </c>
      <c r="U1046" s="5">
        <f t="shared" si="345"/>
        <v>0</v>
      </c>
    </row>
    <row r="1047" spans="2:21">
      <c r="B1047" s="12">
        <v>3</v>
      </c>
      <c r="C1047" t="s">
        <v>100</v>
      </c>
      <c r="G1047">
        <v>1996</v>
      </c>
      <c r="H1047">
        <v>4</v>
      </c>
      <c r="I1047">
        <v>0</v>
      </c>
      <c r="J1047" t="s">
        <v>30</v>
      </c>
      <c r="K1047" s="45" t="s">
        <v>35</v>
      </c>
      <c r="L1047">
        <f t="shared" si="337"/>
        <v>2006</v>
      </c>
      <c r="M1047" s="15">
        <f t="shared" si="338"/>
        <v>2006.3333333333333</v>
      </c>
      <c r="N1047" s="5">
        <v>8683</v>
      </c>
      <c r="O1047" s="5">
        <f t="shared" si="339"/>
        <v>8683</v>
      </c>
      <c r="P1047" s="5">
        <f t="shared" si="340"/>
        <v>72.358333333333334</v>
      </c>
      <c r="Q1047" s="5">
        <f t="shared" si="341"/>
        <v>868.3</v>
      </c>
      <c r="R1047" s="5">
        <f t="shared" si="342"/>
        <v>0</v>
      </c>
      <c r="S1047" s="5">
        <f t="shared" si="343"/>
        <v>8683</v>
      </c>
      <c r="T1047" s="5">
        <f t="shared" si="344"/>
        <v>8683</v>
      </c>
      <c r="U1047" s="5">
        <f t="shared" si="345"/>
        <v>0</v>
      </c>
    </row>
    <row r="1048" spans="2:21">
      <c r="B1048" s="12">
        <v>2</v>
      </c>
      <c r="C1048" t="s">
        <v>100</v>
      </c>
      <c r="G1048">
        <v>1996</v>
      </c>
      <c r="H1048">
        <v>4</v>
      </c>
      <c r="I1048">
        <v>0</v>
      </c>
      <c r="J1048" t="s">
        <v>30</v>
      </c>
      <c r="K1048" s="45" t="s">
        <v>35</v>
      </c>
      <c r="L1048">
        <f t="shared" ref="L1048:L1079" si="346">G1048+K1048</f>
        <v>2006</v>
      </c>
      <c r="M1048" s="15">
        <f t="shared" ref="M1048:M1079" si="347">+L1048+(H1048/12)</f>
        <v>2006.3333333333333</v>
      </c>
      <c r="N1048" s="5">
        <v>7347</v>
      </c>
      <c r="O1048" s="5">
        <f t="shared" ref="O1048:O1079" si="348">N1048-N1048*I1048</f>
        <v>7347</v>
      </c>
      <c r="P1048" s="5">
        <f t="shared" ref="P1048:P1079" si="349">O1048/K1048/12</f>
        <v>61.225000000000001</v>
      </c>
      <c r="Q1048" s="5">
        <f t="shared" ref="Q1048:Q1079" si="350">P1048*12</f>
        <v>734.7</v>
      </c>
      <c r="R1048" s="5">
        <f t="shared" ref="R1048:R1079" si="351">+IF(M1048&lt;=$O$5,0,IF(L1048&gt;$O$4,Q1048,(P1048*H1048)))</f>
        <v>0</v>
      </c>
      <c r="S1048" s="5">
        <f t="shared" ref="S1048:S1079" si="352">+IF(R1048=0,N1048,IF($O$3-G1048&lt;1,0,(($O$3-G1048)*Q1048)))</f>
        <v>7347</v>
      </c>
      <c r="T1048" s="5">
        <f t="shared" ref="T1048:T1079" si="353">+IF(R1048=0,S1048,S1048+R1048)</f>
        <v>7347</v>
      </c>
      <c r="U1048" s="5">
        <f t="shared" ref="U1048:U1079" si="354">+N1048-T1048</f>
        <v>0</v>
      </c>
    </row>
    <row r="1049" spans="2:21">
      <c r="B1049" s="12">
        <v>2</v>
      </c>
      <c r="C1049" t="s">
        <v>570</v>
      </c>
      <c r="G1049">
        <v>1996</v>
      </c>
      <c r="H1049">
        <v>4</v>
      </c>
      <c r="I1049">
        <v>0</v>
      </c>
      <c r="J1049" t="s">
        <v>30</v>
      </c>
      <c r="K1049" s="45" t="s">
        <v>35</v>
      </c>
      <c r="L1049">
        <f t="shared" si="346"/>
        <v>2006</v>
      </c>
      <c r="M1049" s="15">
        <f t="shared" si="347"/>
        <v>2006.3333333333333</v>
      </c>
      <c r="N1049" s="5">
        <v>5287</v>
      </c>
      <c r="O1049" s="5">
        <f t="shared" si="348"/>
        <v>5287</v>
      </c>
      <c r="P1049" s="5">
        <f t="shared" si="349"/>
        <v>44.058333333333337</v>
      </c>
      <c r="Q1049" s="5">
        <f t="shared" si="350"/>
        <v>528.70000000000005</v>
      </c>
      <c r="R1049" s="5">
        <f t="shared" si="351"/>
        <v>0</v>
      </c>
      <c r="S1049" s="5">
        <f t="shared" si="352"/>
        <v>5287</v>
      </c>
      <c r="T1049" s="5">
        <f t="shared" si="353"/>
        <v>5287</v>
      </c>
      <c r="U1049" s="5">
        <f t="shared" si="354"/>
        <v>0</v>
      </c>
    </row>
    <row r="1050" spans="2:21">
      <c r="B1050" s="12">
        <v>3</v>
      </c>
      <c r="C1050" t="s">
        <v>100</v>
      </c>
      <c r="G1050">
        <v>1996</v>
      </c>
      <c r="H1050">
        <v>6</v>
      </c>
      <c r="I1050">
        <v>0</v>
      </c>
      <c r="J1050" t="s">
        <v>30</v>
      </c>
      <c r="K1050" s="45" t="s">
        <v>35</v>
      </c>
      <c r="L1050">
        <f t="shared" si="346"/>
        <v>2006</v>
      </c>
      <c r="M1050" s="15">
        <f t="shared" si="347"/>
        <v>2006.5</v>
      </c>
      <c r="N1050" s="5">
        <v>11020</v>
      </c>
      <c r="O1050" s="5">
        <f t="shared" si="348"/>
        <v>11020</v>
      </c>
      <c r="P1050" s="5">
        <f t="shared" si="349"/>
        <v>91.833333333333329</v>
      </c>
      <c r="Q1050" s="5">
        <f t="shared" si="350"/>
        <v>1102</v>
      </c>
      <c r="R1050" s="5">
        <f t="shared" si="351"/>
        <v>0</v>
      </c>
      <c r="S1050" s="5">
        <f t="shared" si="352"/>
        <v>11020</v>
      </c>
      <c r="T1050" s="5">
        <f t="shared" si="353"/>
        <v>11020</v>
      </c>
      <c r="U1050" s="5">
        <f t="shared" si="354"/>
        <v>0</v>
      </c>
    </row>
    <row r="1051" spans="2:21">
      <c r="B1051" s="12">
        <v>3</v>
      </c>
      <c r="C1051" t="s">
        <v>100</v>
      </c>
      <c r="G1051">
        <v>1996</v>
      </c>
      <c r="H1051">
        <v>6</v>
      </c>
      <c r="I1051">
        <v>0</v>
      </c>
      <c r="J1051" t="s">
        <v>30</v>
      </c>
      <c r="K1051" s="45" t="s">
        <v>35</v>
      </c>
      <c r="L1051">
        <f t="shared" si="346"/>
        <v>2006</v>
      </c>
      <c r="M1051" s="15">
        <f t="shared" si="347"/>
        <v>2006.5</v>
      </c>
      <c r="N1051" s="5">
        <v>8683</v>
      </c>
      <c r="O1051" s="5">
        <f t="shared" si="348"/>
        <v>8683</v>
      </c>
      <c r="P1051" s="5">
        <f t="shared" si="349"/>
        <v>72.358333333333334</v>
      </c>
      <c r="Q1051" s="5">
        <f t="shared" si="350"/>
        <v>868.3</v>
      </c>
      <c r="R1051" s="5">
        <f t="shared" si="351"/>
        <v>0</v>
      </c>
      <c r="S1051" s="5">
        <f t="shared" si="352"/>
        <v>8683</v>
      </c>
      <c r="T1051" s="5">
        <f t="shared" si="353"/>
        <v>8683</v>
      </c>
      <c r="U1051" s="5">
        <f t="shared" si="354"/>
        <v>0</v>
      </c>
    </row>
    <row r="1052" spans="2:21">
      <c r="B1052" s="12">
        <v>2</v>
      </c>
      <c r="C1052" t="s">
        <v>100</v>
      </c>
      <c r="G1052">
        <v>1997</v>
      </c>
      <c r="H1052">
        <v>3</v>
      </c>
      <c r="I1052">
        <v>0</v>
      </c>
      <c r="J1052" t="s">
        <v>30</v>
      </c>
      <c r="K1052" s="45" t="s">
        <v>35</v>
      </c>
      <c r="L1052">
        <f t="shared" si="346"/>
        <v>2007</v>
      </c>
      <c r="M1052" s="15">
        <f t="shared" si="347"/>
        <v>2007.25</v>
      </c>
      <c r="N1052" s="5">
        <v>7065</v>
      </c>
      <c r="O1052" s="5">
        <f t="shared" si="348"/>
        <v>7065</v>
      </c>
      <c r="P1052" s="5">
        <f t="shared" si="349"/>
        <v>58.875</v>
      </c>
      <c r="Q1052" s="5">
        <f t="shared" si="350"/>
        <v>706.5</v>
      </c>
      <c r="R1052" s="5">
        <f t="shared" si="351"/>
        <v>0</v>
      </c>
      <c r="S1052" s="5">
        <f t="shared" si="352"/>
        <v>7065</v>
      </c>
      <c r="T1052" s="5">
        <f t="shared" si="353"/>
        <v>7065</v>
      </c>
      <c r="U1052" s="5">
        <f t="shared" si="354"/>
        <v>0</v>
      </c>
    </row>
    <row r="1053" spans="2:21">
      <c r="B1053" s="12">
        <v>10</v>
      </c>
      <c r="C1053" t="s">
        <v>100</v>
      </c>
      <c r="G1053">
        <v>1997</v>
      </c>
      <c r="H1053">
        <v>5</v>
      </c>
      <c r="I1053">
        <v>0</v>
      </c>
      <c r="J1053" t="s">
        <v>30</v>
      </c>
      <c r="K1053" s="45" t="s">
        <v>35</v>
      </c>
      <c r="L1053">
        <f t="shared" si="346"/>
        <v>2007</v>
      </c>
      <c r="M1053" s="15">
        <f t="shared" si="347"/>
        <v>2007.4166666666667</v>
      </c>
      <c r="N1053" s="5">
        <v>36870</v>
      </c>
      <c r="O1053" s="5">
        <f t="shared" si="348"/>
        <v>36870</v>
      </c>
      <c r="P1053" s="5">
        <f t="shared" si="349"/>
        <v>307.25</v>
      </c>
      <c r="Q1053" s="5">
        <f t="shared" si="350"/>
        <v>3687</v>
      </c>
      <c r="R1053" s="5">
        <f t="shared" si="351"/>
        <v>0</v>
      </c>
      <c r="S1053" s="5">
        <f t="shared" si="352"/>
        <v>36870</v>
      </c>
      <c r="T1053" s="5">
        <f t="shared" si="353"/>
        <v>36870</v>
      </c>
      <c r="U1053" s="5">
        <f t="shared" si="354"/>
        <v>0</v>
      </c>
    </row>
    <row r="1054" spans="2:21">
      <c r="B1054" s="12">
        <v>1</v>
      </c>
      <c r="C1054" t="s">
        <v>265</v>
      </c>
      <c r="G1054">
        <v>1997</v>
      </c>
      <c r="H1054">
        <v>5</v>
      </c>
      <c r="I1054">
        <v>0</v>
      </c>
      <c r="J1054" t="s">
        <v>30</v>
      </c>
      <c r="K1054" s="45" t="s">
        <v>35</v>
      </c>
      <c r="L1054">
        <f t="shared" si="346"/>
        <v>2007</v>
      </c>
      <c r="M1054" s="15">
        <f t="shared" si="347"/>
        <v>2007.4166666666667</v>
      </c>
      <c r="N1054" s="5">
        <v>3887.31</v>
      </c>
      <c r="O1054" s="5">
        <f t="shared" si="348"/>
        <v>3887.31</v>
      </c>
      <c r="P1054" s="5">
        <f t="shared" si="349"/>
        <v>32.39425</v>
      </c>
      <c r="Q1054" s="5">
        <f t="shared" si="350"/>
        <v>388.73099999999999</v>
      </c>
      <c r="R1054" s="5">
        <f t="shared" si="351"/>
        <v>0</v>
      </c>
      <c r="S1054" s="5">
        <f t="shared" si="352"/>
        <v>3887.31</v>
      </c>
      <c r="T1054" s="5">
        <f t="shared" si="353"/>
        <v>3887.31</v>
      </c>
      <c r="U1054" s="5">
        <f t="shared" si="354"/>
        <v>0</v>
      </c>
    </row>
    <row r="1055" spans="2:21">
      <c r="B1055" s="12">
        <v>1</v>
      </c>
      <c r="C1055" t="s">
        <v>100</v>
      </c>
      <c r="G1055">
        <v>1997</v>
      </c>
      <c r="H1055">
        <v>5</v>
      </c>
      <c r="I1055">
        <v>0</v>
      </c>
      <c r="J1055" t="s">
        <v>30</v>
      </c>
      <c r="K1055" s="45" t="s">
        <v>35</v>
      </c>
      <c r="L1055">
        <f t="shared" si="346"/>
        <v>2007</v>
      </c>
      <c r="M1055" s="15">
        <f t="shared" si="347"/>
        <v>2007.4166666666667</v>
      </c>
      <c r="N1055" s="5">
        <v>3111</v>
      </c>
      <c r="O1055" s="5">
        <f t="shared" si="348"/>
        <v>3111</v>
      </c>
      <c r="P1055" s="5">
        <f t="shared" si="349"/>
        <v>25.925000000000001</v>
      </c>
      <c r="Q1055" s="5">
        <f t="shared" si="350"/>
        <v>311.10000000000002</v>
      </c>
      <c r="R1055" s="5">
        <f t="shared" si="351"/>
        <v>0</v>
      </c>
      <c r="S1055" s="5">
        <f t="shared" si="352"/>
        <v>3111</v>
      </c>
      <c r="T1055" s="5">
        <f t="shared" si="353"/>
        <v>3111</v>
      </c>
      <c r="U1055" s="5">
        <f t="shared" si="354"/>
        <v>0</v>
      </c>
    </row>
    <row r="1056" spans="2:21">
      <c r="B1056" s="12">
        <v>3</v>
      </c>
      <c r="C1056" t="s">
        <v>100</v>
      </c>
      <c r="G1056">
        <v>1997</v>
      </c>
      <c r="H1056">
        <v>5</v>
      </c>
      <c r="I1056">
        <v>0</v>
      </c>
      <c r="J1056" t="s">
        <v>30</v>
      </c>
      <c r="K1056" s="45" t="s">
        <v>35</v>
      </c>
      <c r="L1056">
        <f t="shared" si="346"/>
        <v>2007</v>
      </c>
      <c r="M1056" s="15">
        <f t="shared" si="347"/>
        <v>2007.4166666666667</v>
      </c>
      <c r="N1056" s="5">
        <v>13521</v>
      </c>
      <c r="O1056" s="5">
        <f t="shared" si="348"/>
        <v>13521</v>
      </c>
      <c r="P1056" s="5">
        <f t="shared" si="349"/>
        <v>112.675</v>
      </c>
      <c r="Q1056" s="5">
        <f t="shared" si="350"/>
        <v>1352.1</v>
      </c>
      <c r="R1056" s="5">
        <f t="shared" si="351"/>
        <v>0</v>
      </c>
      <c r="S1056" s="5">
        <f t="shared" si="352"/>
        <v>13521</v>
      </c>
      <c r="T1056" s="5">
        <f t="shared" si="353"/>
        <v>13521</v>
      </c>
      <c r="U1056" s="5">
        <f t="shared" si="354"/>
        <v>0</v>
      </c>
    </row>
    <row r="1057" spans="2:21">
      <c r="B1057" s="12">
        <v>2</v>
      </c>
      <c r="C1057" t="s">
        <v>100</v>
      </c>
      <c r="G1057">
        <v>1997</v>
      </c>
      <c r="H1057">
        <v>5</v>
      </c>
      <c r="I1057">
        <v>0</v>
      </c>
      <c r="J1057" t="s">
        <v>30</v>
      </c>
      <c r="K1057" s="45" t="s">
        <v>35</v>
      </c>
      <c r="L1057">
        <f t="shared" si="346"/>
        <v>2007</v>
      </c>
      <c r="M1057" s="15">
        <f t="shared" si="347"/>
        <v>2007.4166666666667</v>
      </c>
      <c r="N1057" s="5">
        <v>7374</v>
      </c>
      <c r="O1057" s="5">
        <f t="shared" si="348"/>
        <v>7374</v>
      </c>
      <c r="P1057" s="5">
        <f t="shared" si="349"/>
        <v>61.449999999999996</v>
      </c>
      <c r="Q1057" s="5">
        <f t="shared" si="350"/>
        <v>737.4</v>
      </c>
      <c r="R1057" s="5">
        <f t="shared" si="351"/>
        <v>0</v>
      </c>
      <c r="S1057" s="5">
        <f t="shared" si="352"/>
        <v>7374</v>
      </c>
      <c r="T1057" s="5">
        <f t="shared" si="353"/>
        <v>7374</v>
      </c>
      <c r="U1057" s="5">
        <f t="shared" si="354"/>
        <v>0</v>
      </c>
    </row>
    <row r="1058" spans="2:21">
      <c r="B1058" s="12">
        <v>5</v>
      </c>
      <c r="C1058" t="s">
        <v>100</v>
      </c>
      <c r="G1058">
        <v>1997</v>
      </c>
      <c r="H1058">
        <v>6</v>
      </c>
      <c r="I1058">
        <v>0</v>
      </c>
      <c r="J1058" t="s">
        <v>30</v>
      </c>
      <c r="K1058" s="45" t="s">
        <v>35</v>
      </c>
      <c r="L1058">
        <f t="shared" si="346"/>
        <v>2007</v>
      </c>
      <c r="M1058" s="15">
        <f t="shared" si="347"/>
        <v>2007.5</v>
      </c>
      <c r="N1058" s="5">
        <v>17322</v>
      </c>
      <c r="O1058" s="5">
        <f t="shared" si="348"/>
        <v>17322</v>
      </c>
      <c r="P1058" s="5">
        <f t="shared" si="349"/>
        <v>144.35</v>
      </c>
      <c r="Q1058" s="5">
        <f t="shared" si="350"/>
        <v>1732.1999999999998</v>
      </c>
      <c r="R1058" s="5">
        <f t="shared" si="351"/>
        <v>0</v>
      </c>
      <c r="S1058" s="5">
        <f t="shared" si="352"/>
        <v>17322</v>
      </c>
      <c r="T1058" s="5">
        <f t="shared" si="353"/>
        <v>17322</v>
      </c>
      <c r="U1058" s="5">
        <f t="shared" si="354"/>
        <v>0</v>
      </c>
    </row>
    <row r="1059" spans="2:21">
      <c r="B1059" s="12">
        <v>6</v>
      </c>
      <c r="C1059" t="s">
        <v>100</v>
      </c>
      <c r="G1059">
        <v>1997</v>
      </c>
      <c r="H1059">
        <v>6</v>
      </c>
      <c r="I1059">
        <v>0</v>
      </c>
      <c r="J1059" t="s">
        <v>30</v>
      </c>
      <c r="K1059" s="45" t="s">
        <v>35</v>
      </c>
      <c r="L1059">
        <f t="shared" si="346"/>
        <v>2007</v>
      </c>
      <c r="M1059" s="15">
        <f t="shared" si="347"/>
        <v>2007.5</v>
      </c>
      <c r="N1059" s="5">
        <v>20786</v>
      </c>
      <c r="O1059" s="5">
        <f t="shared" si="348"/>
        <v>20786</v>
      </c>
      <c r="P1059" s="5">
        <f t="shared" si="349"/>
        <v>173.21666666666667</v>
      </c>
      <c r="Q1059" s="5">
        <f t="shared" si="350"/>
        <v>2078.6</v>
      </c>
      <c r="R1059" s="5">
        <f t="shared" si="351"/>
        <v>0</v>
      </c>
      <c r="S1059" s="5">
        <f t="shared" si="352"/>
        <v>20786</v>
      </c>
      <c r="T1059" s="5">
        <f t="shared" si="353"/>
        <v>20786</v>
      </c>
      <c r="U1059" s="5">
        <f t="shared" si="354"/>
        <v>0</v>
      </c>
    </row>
    <row r="1060" spans="2:21">
      <c r="B1060" s="12">
        <v>2</v>
      </c>
      <c r="C1060" t="s">
        <v>571</v>
      </c>
      <c r="G1060">
        <v>1997</v>
      </c>
      <c r="H1060">
        <v>7</v>
      </c>
      <c r="I1060">
        <v>0</v>
      </c>
      <c r="J1060" t="s">
        <v>30</v>
      </c>
      <c r="K1060" s="45" t="s">
        <v>35</v>
      </c>
      <c r="L1060">
        <f t="shared" si="346"/>
        <v>2007</v>
      </c>
      <c r="M1060" s="15">
        <f t="shared" si="347"/>
        <v>2007.5833333333333</v>
      </c>
      <c r="N1060" s="5">
        <v>4947</v>
      </c>
      <c r="O1060" s="5">
        <f t="shared" si="348"/>
        <v>4947</v>
      </c>
      <c r="P1060" s="5">
        <f t="shared" si="349"/>
        <v>41.225000000000001</v>
      </c>
      <c r="Q1060" s="5">
        <f t="shared" si="350"/>
        <v>494.70000000000005</v>
      </c>
      <c r="R1060" s="5">
        <f t="shared" si="351"/>
        <v>0</v>
      </c>
      <c r="S1060" s="5">
        <f t="shared" si="352"/>
        <v>4947</v>
      </c>
      <c r="T1060" s="5">
        <f t="shared" si="353"/>
        <v>4947</v>
      </c>
      <c r="U1060" s="5">
        <f t="shared" si="354"/>
        <v>0</v>
      </c>
    </row>
    <row r="1061" spans="2:21">
      <c r="B1061" s="12">
        <v>1</v>
      </c>
      <c r="C1061" t="s">
        <v>100</v>
      </c>
      <c r="G1061">
        <v>1997</v>
      </c>
      <c r="H1061">
        <v>8</v>
      </c>
      <c r="I1061">
        <v>0</v>
      </c>
      <c r="J1061" t="s">
        <v>30</v>
      </c>
      <c r="K1061" s="45" t="s">
        <v>35</v>
      </c>
      <c r="L1061">
        <f t="shared" si="346"/>
        <v>2007</v>
      </c>
      <c r="M1061" s="15">
        <f t="shared" si="347"/>
        <v>2007.6666666666667</v>
      </c>
      <c r="N1061" s="5">
        <v>3029.78</v>
      </c>
      <c r="O1061" s="5">
        <f t="shared" si="348"/>
        <v>3029.78</v>
      </c>
      <c r="P1061" s="5">
        <f t="shared" si="349"/>
        <v>25.248166666666666</v>
      </c>
      <c r="Q1061" s="5">
        <f t="shared" si="350"/>
        <v>302.97800000000001</v>
      </c>
      <c r="R1061" s="5">
        <f t="shared" si="351"/>
        <v>0</v>
      </c>
      <c r="S1061" s="5">
        <f t="shared" si="352"/>
        <v>3029.78</v>
      </c>
      <c r="T1061" s="5">
        <f t="shared" si="353"/>
        <v>3029.78</v>
      </c>
      <c r="U1061" s="5">
        <f t="shared" si="354"/>
        <v>0</v>
      </c>
    </row>
    <row r="1062" spans="2:21">
      <c r="B1062" s="12">
        <v>5</v>
      </c>
      <c r="C1062" t="s">
        <v>100</v>
      </c>
      <c r="G1062">
        <v>1997</v>
      </c>
      <c r="H1062">
        <v>9</v>
      </c>
      <c r="I1062">
        <v>0</v>
      </c>
      <c r="J1062" t="s">
        <v>30</v>
      </c>
      <c r="K1062" s="45" t="s">
        <v>35</v>
      </c>
      <c r="L1062">
        <f t="shared" si="346"/>
        <v>2007</v>
      </c>
      <c r="M1062" s="15">
        <f t="shared" si="347"/>
        <v>2007.75</v>
      </c>
      <c r="N1062" s="5">
        <v>19140.75</v>
      </c>
      <c r="O1062" s="5">
        <f t="shared" si="348"/>
        <v>19140.75</v>
      </c>
      <c r="P1062" s="5">
        <f t="shared" si="349"/>
        <v>159.50624999999999</v>
      </c>
      <c r="Q1062" s="5">
        <f t="shared" si="350"/>
        <v>1914.0749999999998</v>
      </c>
      <c r="R1062" s="5">
        <f t="shared" si="351"/>
        <v>0</v>
      </c>
      <c r="S1062" s="5">
        <f t="shared" si="352"/>
        <v>19140.75</v>
      </c>
      <c r="T1062" s="5">
        <f t="shared" si="353"/>
        <v>19140.75</v>
      </c>
      <c r="U1062" s="5">
        <f t="shared" si="354"/>
        <v>0</v>
      </c>
    </row>
    <row r="1063" spans="2:21">
      <c r="B1063" s="12">
        <v>5</v>
      </c>
      <c r="C1063" t="s">
        <v>100</v>
      </c>
      <c r="G1063">
        <v>1997</v>
      </c>
      <c r="H1063">
        <v>10</v>
      </c>
      <c r="I1063">
        <v>0</v>
      </c>
      <c r="J1063" t="s">
        <v>30</v>
      </c>
      <c r="K1063" s="45" t="s">
        <v>35</v>
      </c>
      <c r="L1063">
        <f t="shared" si="346"/>
        <v>2007</v>
      </c>
      <c r="M1063" s="15">
        <f t="shared" si="347"/>
        <v>2007.8333333333333</v>
      </c>
      <c r="N1063" s="5">
        <v>17864.7</v>
      </c>
      <c r="O1063" s="5">
        <f t="shared" si="348"/>
        <v>17864.7</v>
      </c>
      <c r="P1063" s="5">
        <f t="shared" si="349"/>
        <v>148.8725</v>
      </c>
      <c r="Q1063" s="5">
        <f t="shared" si="350"/>
        <v>1786.47</v>
      </c>
      <c r="R1063" s="5">
        <f t="shared" si="351"/>
        <v>0</v>
      </c>
      <c r="S1063" s="5">
        <f t="shared" si="352"/>
        <v>17864.7</v>
      </c>
      <c r="T1063" s="5">
        <f t="shared" si="353"/>
        <v>17864.7</v>
      </c>
      <c r="U1063" s="5">
        <f t="shared" si="354"/>
        <v>0</v>
      </c>
    </row>
    <row r="1064" spans="2:21">
      <c r="B1064" s="12">
        <v>1</v>
      </c>
      <c r="C1064" t="s">
        <v>100</v>
      </c>
      <c r="G1064">
        <v>1997</v>
      </c>
      <c r="H1064">
        <v>11</v>
      </c>
      <c r="I1064">
        <v>0</v>
      </c>
      <c r="J1064" t="s">
        <v>30</v>
      </c>
      <c r="K1064" s="45" t="s">
        <v>35</v>
      </c>
      <c r="L1064">
        <f t="shared" si="346"/>
        <v>2007</v>
      </c>
      <c r="M1064" s="15">
        <f t="shared" si="347"/>
        <v>2007.9166666666667</v>
      </c>
      <c r="N1064" s="5">
        <v>3029.78</v>
      </c>
      <c r="O1064" s="5">
        <f t="shared" si="348"/>
        <v>3029.78</v>
      </c>
      <c r="P1064" s="5">
        <f t="shared" si="349"/>
        <v>25.248166666666666</v>
      </c>
      <c r="Q1064" s="5">
        <f t="shared" si="350"/>
        <v>302.97800000000001</v>
      </c>
      <c r="R1064" s="5">
        <f t="shared" si="351"/>
        <v>0</v>
      </c>
      <c r="S1064" s="5">
        <f t="shared" si="352"/>
        <v>3029.78</v>
      </c>
      <c r="T1064" s="5">
        <f t="shared" si="353"/>
        <v>3029.78</v>
      </c>
      <c r="U1064" s="5">
        <f t="shared" si="354"/>
        <v>0</v>
      </c>
    </row>
    <row r="1065" spans="2:21">
      <c r="B1065" s="12">
        <v>2</v>
      </c>
      <c r="C1065" t="s">
        <v>572</v>
      </c>
      <c r="G1065">
        <v>1997</v>
      </c>
      <c r="H1065">
        <v>12</v>
      </c>
      <c r="I1065">
        <v>0</v>
      </c>
      <c r="J1065" t="s">
        <v>30</v>
      </c>
      <c r="K1065" s="45" t="s">
        <v>35</v>
      </c>
      <c r="L1065">
        <f t="shared" si="346"/>
        <v>2007</v>
      </c>
      <c r="M1065" s="15">
        <f t="shared" si="347"/>
        <v>2008</v>
      </c>
      <c r="N1065" s="5">
        <v>7308.78</v>
      </c>
      <c r="O1065" s="5">
        <f t="shared" si="348"/>
        <v>7308.78</v>
      </c>
      <c r="P1065" s="5">
        <f t="shared" si="349"/>
        <v>60.906499999999994</v>
      </c>
      <c r="Q1065" s="5">
        <f t="shared" si="350"/>
        <v>730.87799999999993</v>
      </c>
      <c r="R1065" s="5">
        <f t="shared" si="351"/>
        <v>0</v>
      </c>
      <c r="S1065" s="5">
        <f t="shared" si="352"/>
        <v>7308.78</v>
      </c>
      <c r="T1065" s="5">
        <f t="shared" si="353"/>
        <v>7308.78</v>
      </c>
      <c r="U1065" s="5">
        <f t="shared" si="354"/>
        <v>0</v>
      </c>
    </row>
    <row r="1066" spans="2:21">
      <c r="B1066" s="12">
        <v>1</v>
      </c>
      <c r="C1066" t="s">
        <v>100</v>
      </c>
      <c r="G1066">
        <v>1998</v>
      </c>
      <c r="H1066">
        <v>2</v>
      </c>
      <c r="I1066">
        <v>0</v>
      </c>
      <c r="J1066" t="s">
        <v>30</v>
      </c>
      <c r="K1066" s="45" t="s">
        <v>35</v>
      </c>
      <c r="L1066">
        <f t="shared" si="346"/>
        <v>2008</v>
      </c>
      <c r="M1066" s="15">
        <f t="shared" si="347"/>
        <v>2008.1666666666667</v>
      </c>
      <c r="N1066" s="5">
        <v>3029.78</v>
      </c>
      <c r="O1066" s="5">
        <f t="shared" si="348"/>
        <v>3029.78</v>
      </c>
      <c r="P1066" s="5">
        <f t="shared" si="349"/>
        <v>25.248166666666666</v>
      </c>
      <c r="Q1066" s="5">
        <f t="shared" si="350"/>
        <v>302.97800000000001</v>
      </c>
      <c r="R1066" s="5">
        <f t="shared" si="351"/>
        <v>0</v>
      </c>
      <c r="S1066" s="5">
        <f t="shared" si="352"/>
        <v>3029.78</v>
      </c>
      <c r="T1066" s="5">
        <f t="shared" si="353"/>
        <v>3029.78</v>
      </c>
      <c r="U1066" s="5">
        <f t="shared" si="354"/>
        <v>0</v>
      </c>
    </row>
    <row r="1067" spans="2:21">
      <c r="B1067" s="12">
        <v>1</v>
      </c>
      <c r="C1067" t="s">
        <v>100</v>
      </c>
      <c r="G1067">
        <v>1998</v>
      </c>
      <c r="H1067">
        <v>3</v>
      </c>
      <c r="I1067">
        <v>0</v>
      </c>
      <c r="J1067" t="s">
        <v>30</v>
      </c>
      <c r="K1067" s="45" t="s">
        <v>35</v>
      </c>
      <c r="L1067">
        <f t="shared" si="346"/>
        <v>2008</v>
      </c>
      <c r="M1067" s="15">
        <f t="shared" si="347"/>
        <v>2008.25</v>
      </c>
      <c r="N1067" s="5">
        <v>3029.78</v>
      </c>
      <c r="O1067" s="5">
        <f t="shared" si="348"/>
        <v>3029.78</v>
      </c>
      <c r="P1067" s="5">
        <f t="shared" si="349"/>
        <v>25.248166666666666</v>
      </c>
      <c r="Q1067" s="5">
        <f t="shared" si="350"/>
        <v>302.97800000000001</v>
      </c>
      <c r="R1067" s="5">
        <f t="shared" si="351"/>
        <v>0</v>
      </c>
      <c r="S1067" s="5">
        <f t="shared" si="352"/>
        <v>3029.78</v>
      </c>
      <c r="T1067" s="5">
        <f t="shared" si="353"/>
        <v>3029.78</v>
      </c>
      <c r="U1067" s="5">
        <f t="shared" si="354"/>
        <v>0</v>
      </c>
    </row>
    <row r="1068" spans="2:21">
      <c r="B1068" s="12">
        <v>1</v>
      </c>
      <c r="C1068" t="s">
        <v>100</v>
      </c>
      <c r="G1068">
        <v>1998</v>
      </c>
      <c r="H1068">
        <v>3</v>
      </c>
      <c r="I1068">
        <v>0</v>
      </c>
      <c r="J1068" t="s">
        <v>30</v>
      </c>
      <c r="K1068" s="45" t="s">
        <v>35</v>
      </c>
      <c r="L1068">
        <f t="shared" si="346"/>
        <v>2008</v>
      </c>
      <c r="M1068" s="15">
        <f t="shared" si="347"/>
        <v>2008.25</v>
      </c>
      <c r="N1068" s="5">
        <v>3029.78</v>
      </c>
      <c r="O1068" s="5">
        <f t="shared" si="348"/>
        <v>3029.78</v>
      </c>
      <c r="P1068" s="5">
        <f t="shared" si="349"/>
        <v>25.248166666666666</v>
      </c>
      <c r="Q1068" s="5">
        <f t="shared" si="350"/>
        <v>302.97800000000001</v>
      </c>
      <c r="R1068" s="5">
        <f t="shared" si="351"/>
        <v>0</v>
      </c>
      <c r="S1068" s="5">
        <f t="shared" si="352"/>
        <v>3029.78</v>
      </c>
      <c r="T1068" s="5">
        <f t="shared" si="353"/>
        <v>3029.78</v>
      </c>
      <c r="U1068" s="5">
        <f t="shared" si="354"/>
        <v>0</v>
      </c>
    </row>
    <row r="1069" spans="2:21">
      <c r="B1069" s="12">
        <v>1</v>
      </c>
      <c r="C1069" t="s">
        <v>100</v>
      </c>
      <c r="G1069">
        <v>1998</v>
      </c>
      <c r="H1069">
        <v>4</v>
      </c>
      <c r="I1069">
        <v>0</v>
      </c>
      <c r="J1069" t="s">
        <v>30</v>
      </c>
      <c r="K1069" s="45" t="s">
        <v>35</v>
      </c>
      <c r="L1069">
        <f t="shared" si="346"/>
        <v>2008</v>
      </c>
      <c r="M1069" s="15">
        <f t="shared" si="347"/>
        <v>2008.3333333333333</v>
      </c>
      <c r="N1069" s="5">
        <v>3029.78</v>
      </c>
      <c r="O1069" s="5">
        <f t="shared" si="348"/>
        <v>3029.78</v>
      </c>
      <c r="P1069" s="5">
        <f t="shared" si="349"/>
        <v>25.248166666666666</v>
      </c>
      <c r="Q1069" s="5">
        <f t="shared" si="350"/>
        <v>302.97800000000001</v>
      </c>
      <c r="R1069" s="5">
        <f t="shared" si="351"/>
        <v>0</v>
      </c>
      <c r="S1069" s="5">
        <f t="shared" si="352"/>
        <v>3029.78</v>
      </c>
      <c r="T1069" s="5">
        <f t="shared" si="353"/>
        <v>3029.78</v>
      </c>
      <c r="U1069" s="5">
        <f t="shared" si="354"/>
        <v>0</v>
      </c>
    </row>
    <row r="1070" spans="2:21">
      <c r="B1070" s="12">
        <v>5</v>
      </c>
      <c r="C1070" t="s">
        <v>100</v>
      </c>
      <c r="G1070">
        <v>1998</v>
      </c>
      <c r="H1070">
        <v>5</v>
      </c>
      <c r="I1070">
        <v>0</v>
      </c>
      <c r="J1070" t="s">
        <v>30</v>
      </c>
      <c r="K1070" s="45" t="s">
        <v>35</v>
      </c>
      <c r="L1070">
        <f t="shared" si="346"/>
        <v>2008</v>
      </c>
      <c r="M1070" s="15">
        <f t="shared" si="347"/>
        <v>2008.4166666666667</v>
      </c>
      <c r="N1070" s="5">
        <v>19140.75</v>
      </c>
      <c r="O1070" s="5">
        <f t="shared" si="348"/>
        <v>19140.75</v>
      </c>
      <c r="P1070" s="5">
        <f t="shared" si="349"/>
        <v>159.50624999999999</v>
      </c>
      <c r="Q1070" s="5">
        <f t="shared" si="350"/>
        <v>1914.0749999999998</v>
      </c>
      <c r="R1070" s="5">
        <f t="shared" si="351"/>
        <v>0</v>
      </c>
      <c r="S1070" s="5">
        <f t="shared" si="352"/>
        <v>19140.75</v>
      </c>
      <c r="T1070" s="5">
        <f t="shared" si="353"/>
        <v>19140.75</v>
      </c>
      <c r="U1070" s="5">
        <f t="shared" si="354"/>
        <v>0</v>
      </c>
    </row>
    <row r="1071" spans="2:21">
      <c r="B1071" s="12">
        <v>2</v>
      </c>
      <c r="C1071" t="s">
        <v>100</v>
      </c>
      <c r="G1071">
        <v>1998</v>
      </c>
      <c r="H1071">
        <v>7</v>
      </c>
      <c r="I1071">
        <v>0</v>
      </c>
      <c r="J1071" t="s">
        <v>30</v>
      </c>
      <c r="K1071" s="45" t="s">
        <v>35</v>
      </c>
      <c r="L1071">
        <f t="shared" si="346"/>
        <v>2008</v>
      </c>
      <c r="M1071" s="15">
        <f t="shared" si="347"/>
        <v>2008.5833333333333</v>
      </c>
      <c r="N1071" s="5">
        <v>8402.48</v>
      </c>
      <c r="O1071" s="5">
        <f t="shared" si="348"/>
        <v>8402.48</v>
      </c>
      <c r="P1071" s="5">
        <f t="shared" si="349"/>
        <v>70.020666666666656</v>
      </c>
      <c r="Q1071" s="5">
        <f t="shared" si="350"/>
        <v>840.24799999999982</v>
      </c>
      <c r="R1071" s="5">
        <f t="shared" si="351"/>
        <v>0</v>
      </c>
      <c r="S1071" s="5">
        <f t="shared" si="352"/>
        <v>8402.48</v>
      </c>
      <c r="T1071" s="5">
        <f t="shared" si="353"/>
        <v>8402.48</v>
      </c>
      <c r="U1071" s="5">
        <f t="shared" si="354"/>
        <v>0</v>
      </c>
    </row>
    <row r="1072" spans="2:21">
      <c r="B1072" s="12">
        <v>2</v>
      </c>
      <c r="C1072" t="s">
        <v>100</v>
      </c>
      <c r="G1072">
        <v>1998</v>
      </c>
      <c r="H1072">
        <v>7</v>
      </c>
      <c r="I1072">
        <v>0</v>
      </c>
      <c r="J1072" t="s">
        <v>30</v>
      </c>
      <c r="K1072" s="45" t="s">
        <v>35</v>
      </c>
      <c r="L1072">
        <f t="shared" si="346"/>
        <v>2008</v>
      </c>
      <c r="M1072" s="15">
        <f t="shared" si="347"/>
        <v>2008.5833333333333</v>
      </c>
      <c r="N1072" s="5">
        <v>10785.82</v>
      </c>
      <c r="O1072" s="5">
        <f t="shared" si="348"/>
        <v>10785.82</v>
      </c>
      <c r="P1072" s="5">
        <f t="shared" si="349"/>
        <v>89.881833333333319</v>
      </c>
      <c r="Q1072" s="5">
        <f t="shared" si="350"/>
        <v>1078.5819999999999</v>
      </c>
      <c r="R1072" s="5">
        <f t="shared" si="351"/>
        <v>0</v>
      </c>
      <c r="S1072" s="5">
        <f t="shared" si="352"/>
        <v>10785.82</v>
      </c>
      <c r="T1072" s="5">
        <f t="shared" si="353"/>
        <v>10785.82</v>
      </c>
      <c r="U1072" s="5">
        <f t="shared" si="354"/>
        <v>0</v>
      </c>
    </row>
    <row r="1073" spans="2:21">
      <c r="B1073" s="12">
        <v>3</v>
      </c>
      <c r="C1073" t="s">
        <v>100</v>
      </c>
      <c r="G1073">
        <v>1998</v>
      </c>
      <c r="H1073">
        <v>7</v>
      </c>
      <c r="I1073">
        <v>0</v>
      </c>
      <c r="J1073" t="s">
        <v>30</v>
      </c>
      <c r="K1073" s="45" t="s">
        <v>35</v>
      </c>
      <c r="L1073">
        <f t="shared" si="346"/>
        <v>2008</v>
      </c>
      <c r="M1073" s="15">
        <f t="shared" si="347"/>
        <v>2008.5833333333333</v>
      </c>
      <c r="N1073" s="5">
        <v>11484.45</v>
      </c>
      <c r="O1073" s="5">
        <f t="shared" si="348"/>
        <v>11484.45</v>
      </c>
      <c r="P1073" s="5">
        <f t="shared" si="349"/>
        <v>95.703750000000014</v>
      </c>
      <c r="Q1073" s="5">
        <f t="shared" si="350"/>
        <v>1148.4450000000002</v>
      </c>
      <c r="R1073" s="5">
        <f t="shared" si="351"/>
        <v>0</v>
      </c>
      <c r="S1073" s="5">
        <f t="shared" si="352"/>
        <v>11484.45</v>
      </c>
      <c r="T1073" s="5">
        <f t="shared" si="353"/>
        <v>11484.45</v>
      </c>
      <c r="U1073" s="5">
        <f t="shared" si="354"/>
        <v>0</v>
      </c>
    </row>
    <row r="1074" spans="2:21">
      <c r="B1074" s="12">
        <v>1</v>
      </c>
      <c r="C1074" t="s">
        <v>573</v>
      </c>
      <c r="G1074">
        <v>1998</v>
      </c>
      <c r="H1074">
        <v>8</v>
      </c>
      <c r="I1074">
        <v>0</v>
      </c>
      <c r="J1074" t="s">
        <v>30</v>
      </c>
      <c r="K1074" s="45" t="s">
        <v>35</v>
      </c>
      <c r="L1074">
        <f t="shared" si="346"/>
        <v>2008</v>
      </c>
      <c r="M1074" s="15">
        <f t="shared" si="347"/>
        <v>2008.6666666666667</v>
      </c>
      <c r="N1074" s="5">
        <v>4669.8</v>
      </c>
      <c r="O1074" s="5">
        <f t="shared" si="348"/>
        <v>4669.8</v>
      </c>
      <c r="P1074" s="5">
        <f t="shared" si="349"/>
        <v>38.914999999999999</v>
      </c>
      <c r="Q1074" s="5">
        <f t="shared" si="350"/>
        <v>466.98</v>
      </c>
      <c r="R1074" s="5">
        <f t="shared" si="351"/>
        <v>0</v>
      </c>
      <c r="S1074" s="5">
        <f t="shared" si="352"/>
        <v>4669.8</v>
      </c>
      <c r="T1074" s="5">
        <f t="shared" si="353"/>
        <v>4669.8</v>
      </c>
      <c r="U1074" s="5">
        <f t="shared" si="354"/>
        <v>0</v>
      </c>
    </row>
    <row r="1075" spans="2:21">
      <c r="B1075" s="12">
        <v>5</v>
      </c>
      <c r="C1075" t="s">
        <v>99</v>
      </c>
      <c r="G1075">
        <v>1998</v>
      </c>
      <c r="H1075">
        <v>8</v>
      </c>
      <c r="I1075">
        <v>0</v>
      </c>
      <c r="J1075" t="s">
        <v>30</v>
      </c>
      <c r="K1075" s="45" t="s">
        <v>35</v>
      </c>
      <c r="L1075">
        <f t="shared" si="346"/>
        <v>2008</v>
      </c>
      <c r="M1075" s="15">
        <f t="shared" si="347"/>
        <v>2008.6666666666667</v>
      </c>
      <c r="N1075" s="5">
        <v>30625.200000000001</v>
      </c>
      <c r="O1075" s="5">
        <f t="shared" si="348"/>
        <v>30625.200000000001</v>
      </c>
      <c r="P1075" s="5">
        <f t="shared" si="349"/>
        <v>255.21</v>
      </c>
      <c r="Q1075" s="5">
        <f t="shared" si="350"/>
        <v>3062.52</v>
      </c>
      <c r="R1075" s="5">
        <f t="shared" si="351"/>
        <v>0</v>
      </c>
      <c r="S1075" s="5">
        <f t="shared" si="352"/>
        <v>30625.200000000001</v>
      </c>
      <c r="T1075" s="5">
        <f t="shared" si="353"/>
        <v>30625.200000000001</v>
      </c>
      <c r="U1075" s="5">
        <f t="shared" si="354"/>
        <v>0</v>
      </c>
    </row>
    <row r="1076" spans="2:21">
      <c r="B1076" s="12">
        <v>6</v>
      </c>
      <c r="C1076" t="s">
        <v>572</v>
      </c>
      <c r="G1076">
        <v>1998</v>
      </c>
      <c r="H1076">
        <v>9</v>
      </c>
      <c r="I1076">
        <v>0</v>
      </c>
      <c r="J1076" t="s">
        <v>30</v>
      </c>
      <c r="K1076" s="45" t="s">
        <v>35</v>
      </c>
      <c r="L1076">
        <f t="shared" si="346"/>
        <v>2008</v>
      </c>
      <c r="M1076" s="15">
        <f t="shared" si="347"/>
        <v>2008.75</v>
      </c>
      <c r="N1076" s="5">
        <v>27693</v>
      </c>
      <c r="O1076" s="5">
        <f t="shared" si="348"/>
        <v>27693</v>
      </c>
      <c r="P1076" s="5">
        <f t="shared" si="349"/>
        <v>230.77500000000001</v>
      </c>
      <c r="Q1076" s="5">
        <f t="shared" si="350"/>
        <v>2769.3</v>
      </c>
      <c r="R1076" s="5">
        <f t="shared" si="351"/>
        <v>0</v>
      </c>
      <c r="S1076" s="5">
        <f t="shared" si="352"/>
        <v>27693</v>
      </c>
      <c r="T1076" s="5">
        <f t="shared" si="353"/>
        <v>27693</v>
      </c>
      <c r="U1076" s="5">
        <f t="shared" si="354"/>
        <v>0</v>
      </c>
    </row>
    <row r="1077" spans="2:21">
      <c r="B1077" s="12">
        <v>2</v>
      </c>
      <c r="C1077" t="s">
        <v>574</v>
      </c>
      <c r="G1077">
        <v>1998</v>
      </c>
      <c r="H1077">
        <v>9</v>
      </c>
      <c r="I1077">
        <v>0</v>
      </c>
      <c r="J1077" t="s">
        <v>30</v>
      </c>
      <c r="K1077" s="45" t="s">
        <v>35</v>
      </c>
      <c r="L1077">
        <f t="shared" si="346"/>
        <v>2008</v>
      </c>
      <c r="M1077" s="15">
        <f t="shared" si="347"/>
        <v>2008.75</v>
      </c>
      <c r="N1077" s="5">
        <v>9328.74</v>
      </c>
      <c r="O1077" s="5">
        <f t="shared" si="348"/>
        <v>9328.74</v>
      </c>
      <c r="P1077" s="5">
        <f t="shared" si="349"/>
        <v>77.739500000000007</v>
      </c>
      <c r="Q1077" s="5">
        <f t="shared" si="350"/>
        <v>932.87400000000002</v>
      </c>
      <c r="R1077" s="5">
        <f t="shared" si="351"/>
        <v>0</v>
      </c>
      <c r="S1077" s="5">
        <f t="shared" si="352"/>
        <v>9328.74</v>
      </c>
      <c r="T1077" s="5">
        <f t="shared" si="353"/>
        <v>9328.74</v>
      </c>
      <c r="U1077" s="5">
        <f t="shared" si="354"/>
        <v>0</v>
      </c>
    </row>
    <row r="1078" spans="2:21">
      <c r="B1078" s="12">
        <v>8</v>
      </c>
      <c r="C1078" t="s">
        <v>103</v>
      </c>
      <c r="G1078">
        <v>1998</v>
      </c>
      <c r="H1078">
        <v>9</v>
      </c>
      <c r="I1078">
        <v>0</v>
      </c>
      <c r="J1078" t="s">
        <v>30</v>
      </c>
      <c r="K1078" s="45" t="s">
        <v>35</v>
      </c>
      <c r="L1078">
        <f t="shared" si="346"/>
        <v>2008</v>
      </c>
      <c r="M1078" s="15">
        <f t="shared" si="347"/>
        <v>2008.75</v>
      </c>
      <c r="N1078" s="5">
        <v>35729.4</v>
      </c>
      <c r="O1078" s="5">
        <f t="shared" si="348"/>
        <v>35729.4</v>
      </c>
      <c r="P1078" s="5">
        <f t="shared" si="349"/>
        <v>297.745</v>
      </c>
      <c r="Q1078" s="5">
        <f t="shared" si="350"/>
        <v>3572.94</v>
      </c>
      <c r="R1078" s="5">
        <f t="shared" si="351"/>
        <v>0</v>
      </c>
      <c r="S1078" s="5">
        <f t="shared" si="352"/>
        <v>35729.4</v>
      </c>
      <c r="T1078" s="5">
        <f t="shared" si="353"/>
        <v>35729.4</v>
      </c>
      <c r="U1078" s="5">
        <f t="shared" si="354"/>
        <v>0</v>
      </c>
    </row>
    <row r="1079" spans="2:21">
      <c r="B1079" s="12">
        <v>9</v>
      </c>
      <c r="C1079" t="s">
        <v>103</v>
      </c>
      <c r="G1079">
        <v>1998</v>
      </c>
      <c r="H1079">
        <v>10</v>
      </c>
      <c r="I1079">
        <v>0</v>
      </c>
      <c r="J1079" t="s">
        <v>30</v>
      </c>
      <c r="K1079" s="45" t="s">
        <v>35</v>
      </c>
      <c r="L1079">
        <f t="shared" si="346"/>
        <v>2008</v>
      </c>
      <c r="M1079" s="15">
        <f t="shared" si="347"/>
        <v>2008.8333333333333</v>
      </c>
      <c r="N1079" s="5">
        <v>38281.5</v>
      </c>
      <c r="O1079" s="5">
        <f t="shared" si="348"/>
        <v>38281.5</v>
      </c>
      <c r="P1079" s="5">
        <f t="shared" si="349"/>
        <v>319.01249999999999</v>
      </c>
      <c r="Q1079" s="5">
        <f t="shared" si="350"/>
        <v>3828.1499999999996</v>
      </c>
      <c r="R1079" s="5">
        <f t="shared" si="351"/>
        <v>0</v>
      </c>
      <c r="S1079" s="5">
        <f t="shared" si="352"/>
        <v>38281.5</v>
      </c>
      <c r="T1079" s="5">
        <f t="shared" si="353"/>
        <v>38281.5</v>
      </c>
      <c r="U1079" s="5">
        <f t="shared" si="354"/>
        <v>0</v>
      </c>
    </row>
    <row r="1080" spans="2:21">
      <c r="B1080" s="12">
        <v>4</v>
      </c>
      <c r="C1080" t="s">
        <v>575</v>
      </c>
      <c r="G1080">
        <v>1999</v>
      </c>
      <c r="H1080">
        <v>5</v>
      </c>
      <c r="I1080">
        <v>0</v>
      </c>
      <c r="J1080" t="s">
        <v>30</v>
      </c>
      <c r="K1080" s="45" t="s">
        <v>35</v>
      </c>
      <c r="L1080">
        <f t="shared" ref="L1080:L1093" si="355">G1080+K1080</f>
        <v>2009</v>
      </c>
      <c r="M1080" s="15">
        <f t="shared" ref="M1080:M1093" si="356">+L1080+(H1080/12)</f>
        <v>2009.4166666666667</v>
      </c>
      <c r="N1080" s="5">
        <v>14291.76</v>
      </c>
      <c r="O1080" s="5">
        <f t="shared" ref="O1080:O1093" si="357">N1080-N1080*I1080</f>
        <v>14291.76</v>
      </c>
      <c r="P1080" s="5">
        <f t="shared" ref="P1080:P1093" si="358">O1080/K1080/12</f>
        <v>119.098</v>
      </c>
      <c r="Q1080" s="5">
        <f t="shared" ref="Q1080:Q1093" si="359">P1080*12</f>
        <v>1429.1759999999999</v>
      </c>
      <c r="R1080" s="5">
        <f t="shared" ref="R1080:R1093" si="360">+IF(M1080&lt;=$O$5,0,IF(L1080&gt;$O$4,Q1080,(P1080*H1080)))</f>
        <v>0</v>
      </c>
      <c r="S1080" s="5">
        <f t="shared" ref="S1080:S1093" si="361">+IF(R1080=0,N1080,IF($O$3-G1080&lt;1,0,(($O$3-G1080)*Q1080)))</f>
        <v>14291.76</v>
      </c>
      <c r="T1080" s="5">
        <f t="shared" ref="T1080:T1093" si="362">+IF(R1080=0,S1080,S1080+R1080)</f>
        <v>14291.76</v>
      </c>
      <c r="U1080" s="5">
        <f t="shared" ref="U1080:U1093" si="363">+N1080-T1080</f>
        <v>0</v>
      </c>
    </row>
    <row r="1081" spans="2:21">
      <c r="B1081" s="12">
        <v>3</v>
      </c>
      <c r="C1081" t="s">
        <v>100</v>
      </c>
      <c r="G1081">
        <v>1999</v>
      </c>
      <c r="H1081">
        <v>7</v>
      </c>
      <c r="I1081">
        <v>0</v>
      </c>
      <c r="J1081" t="s">
        <v>30</v>
      </c>
      <c r="K1081" s="45" t="s">
        <v>35</v>
      </c>
      <c r="L1081">
        <f t="shared" si="355"/>
        <v>2009</v>
      </c>
      <c r="M1081" s="15">
        <f t="shared" si="356"/>
        <v>2009.5833333333333</v>
      </c>
      <c r="N1081" s="5">
        <v>15312.6</v>
      </c>
      <c r="O1081" s="5">
        <f t="shared" si="357"/>
        <v>15312.6</v>
      </c>
      <c r="P1081" s="5">
        <f t="shared" si="358"/>
        <v>127.605</v>
      </c>
      <c r="Q1081" s="5">
        <f t="shared" si="359"/>
        <v>1531.26</v>
      </c>
      <c r="R1081" s="5">
        <f t="shared" si="360"/>
        <v>0</v>
      </c>
      <c r="S1081" s="5">
        <f t="shared" si="361"/>
        <v>15312.6</v>
      </c>
      <c r="T1081" s="5">
        <f t="shared" si="362"/>
        <v>15312.6</v>
      </c>
      <c r="U1081" s="5">
        <f t="shared" si="363"/>
        <v>0</v>
      </c>
    </row>
    <row r="1082" spans="2:21">
      <c r="B1082" s="12">
        <v>3</v>
      </c>
      <c r="C1082" t="s">
        <v>100</v>
      </c>
      <c r="G1082">
        <v>1999</v>
      </c>
      <c r="H1082">
        <v>7</v>
      </c>
      <c r="I1082">
        <v>0</v>
      </c>
      <c r="J1082" t="s">
        <v>30</v>
      </c>
      <c r="K1082" s="45" t="s">
        <v>35</v>
      </c>
      <c r="L1082">
        <f t="shared" si="355"/>
        <v>2009</v>
      </c>
      <c r="M1082" s="15">
        <f t="shared" si="356"/>
        <v>2009.5833333333333</v>
      </c>
      <c r="N1082" s="5">
        <v>15312.6</v>
      </c>
      <c r="O1082" s="5">
        <f t="shared" si="357"/>
        <v>15312.6</v>
      </c>
      <c r="P1082" s="5">
        <f t="shared" si="358"/>
        <v>127.605</v>
      </c>
      <c r="Q1082" s="5">
        <f t="shared" si="359"/>
        <v>1531.26</v>
      </c>
      <c r="R1082" s="5">
        <f t="shared" si="360"/>
        <v>0</v>
      </c>
      <c r="S1082" s="5">
        <f t="shared" si="361"/>
        <v>15312.6</v>
      </c>
      <c r="T1082" s="5">
        <f t="shared" si="362"/>
        <v>15312.6</v>
      </c>
      <c r="U1082" s="5">
        <f t="shared" si="363"/>
        <v>0</v>
      </c>
    </row>
    <row r="1083" spans="2:21">
      <c r="B1083" s="12">
        <v>3</v>
      </c>
      <c r="C1083" t="s">
        <v>576</v>
      </c>
      <c r="G1083">
        <v>1999</v>
      </c>
      <c r="H1083">
        <v>7</v>
      </c>
      <c r="I1083">
        <v>0</v>
      </c>
      <c r="J1083" t="s">
        <v>30</v>
      </c>
      <c r="K1083" s="45" t="s">
        <v>35</v>
      </c>
      <c r="L1083">
        <f t="shared" si="355"/>
        <v>2009</v>
      </c>
      <c r="M1083" s="15">
        <f t="shared" si="356"/>
        <v>2009.5833333333333</v>
      </c>
      <c r="N1083" s="5">
        <v>14291.76</v>
      </c>
      <c r="O1083" s="5">
        <f t="shared" si="357"/>
        <v>14291.76</v>
      </c>
      <c r="P1083" s="5">
        <f t="shared" si="358"/>
        <v>119.098</v>
      </c>
      <c r="Q1083" s="5">
        <f t="shared" si="359"/>
        <v>1429.1759999999999</v>
      </c>
      <c r="R1083" s="5">
        <f t="shared" si="360"/>
        <v>0</v>
      </c>
      <c r="S1083" s="5">
        <f t="shared" si="361"/>
        <v>14291.76</v>
      </c>
      <c r="T1083" s="5">
        <f t="shared" si="362"/>
        <v>14291.76</v>
      </c>
      <c r="U1083" s="5">
        <f t="shared" si="363"/>
        <v>0</v>
      </c>
    </row>
    <row r="1084" spans="2:21">
      <c r="B1084" s="12">
        <v>4</v>
      </c>
      <c r="C1084" t="s">
        <v>572</v>
      </c>
      <c r="G1084">
        <v>1999</v>
      </c>
      <c r="H1084">
        <v>8</v>
      </c>
      <c r="I1084">
        <v>0</v>
      </c>
      <c r="J1084" t="s">
        <v>30</v>
      </c>
      <c r="K1084" s="45" t="s">
        <v>35</v>
      </c>
      <c r="L1084">
        <f t="shared" si="355"/>
        <v>2009</v>
      </c>
      <c r="M1084" s="15">
        <f t="shared" si="356"/>
        <v>2009.6666666666667</v>
      </c>
      <c r="N1084" s="5">
        <v>14291.76</v>
      </c>
      <c r="O1084" s="5">
        <f t="shared" si="357"/>
        <v>14291.76</v>
      </c>
      <c r="P1084" s="5">
        <f t="shared" si="358"/>
        <v>119.098</v>
      </c>
      <c r="Q1084" s="5">
        <f t="shared" si="359"/>
        <v>1429.1759999999999</v>
      </c>
      <c r="R1084" s="5">
        <f t="shared" si="360"/>
        <v>0</v>
      </c>
      <c r="S1084" s="5">
        <f t="shared" si="361"/>
        <v>14291.76</v>
      </c>
      <c r="T1084" s="5">
        <f t="shared" si="362"/>
        <v>14291.76</v>
      </c>
      <c r="U1084" s="5">
        <f t="shared" si="363"/>
        <v>0</v>
      </c>
    </row>
    <row r="1085" spans="2:21">
      <c r="B1085" s="12">
        <v>2</v>
      </c>
      <c r="C1085" t="s">
        <v>100</v>
      </c>
      <c r="G1085">
        <v>1999</v>
      </c>
      <c r="H1085">
        <v>11</v>
      </c>
      <c r="I1085">
        <v>0</v>
      </c>
      <c r="J1085" t="s">
        <v>30</v>
      </c>
      <c r="K1085" s="45" t="s">
        <v>35</v>
      </c>
      <c r="L1085">
        <f t="shared" si="355"/>
        <v>2009</v>
      </c>
      <c r="M1085" s="15">
        <f t="shared" si="356"/>
        <v>2009.9166666666667</v>
      </c>
      <c r="N1085" s="5">
        <v>7330.5</v>
      </c>
      <c r="O1085" s="5">
        <f t="shared" si="357"/>
        <v>7330.5</v>
      </c>
      <c r="P1085" s="5">
        <f t="shared" si="358"/>
        <v>61.087499999999999</v>
      </c>
      <c r="Q1085" s="5">
        <f t="shared" si="359"/>
        <v>733.05</v>
      </c>
      <c r="R1085" s="5">
        <f t="shared" si="360"/>
        <v>0</v>
      </c>
      <c r="S1085" s="5">
        <f t="shared" si="361"/>
        <v>7330.5</v>
      </c>
      <c r="T1085" s="5">
        <f t="shared" si="362"/>
        <v>7330.5</v>
      </c>
      <c r="U1085" s="5">
        <f t="shared" si="363"/>
        <v>0</v>
      </c>
    </row>
    <row r="1086" spans="2:21">
      <c r="B1086" s="12">
        <v>2</v>
      </c>
      <c r="C1086" t="s">
        <v>100</v>
      </c>
      <c r="G1086">
        <v>1999</v>
      </c>
      <c r="H1086">
        <v>11</v>
      </c>
      <c r="I1086">
        <v>0</v>
      </c>
      <c r="J1086" t="s">
        <v>30</v>
      </c>
      <c r="K1086" s="45" t="s">
        <v>35</v>
      </c>
      <c r="L1086">
        <f t="shared" si="355"/>
        <v>2009</v>
      </c>
      <c r="M1086" s="15">
        <f t="shared" si="356"/>
        <v>2009.9166666666667</v>
      </c>
      <c r="N1086" s="5">
        <v>7439.1</v>
      </c>
      <c r="O1086" s="5">
        <f t="shared" si="357"/>
        <v>7439.1</v>
      </c>
      <c r="P1086" s="5">
        <f t="shared" si="358"/>
        <v>61.992500000000007</v>
      </c>
      <c r="Q1086" s="5">
        <f t="shared" si="359"/>
        <v>743.91000000000008</v>
      </c>
      <c r="R1086" s="5">
        <f t="shared" si="360"/>
        <v>0</v>
      </c>
      <c r="S1086" s="5">
        <f t="shared" si="361"/>
        <v>7439.1</v>
      </c>
      <c r="T1086" s="5">
        <f t="shared" si="362"/>
        <v>7439.1</v>
      </c>
      <c r="U1086" s="5">
        <f t="shared" si="363"/>
        <v>0</v>
      </c>
    </row>
    <row r="1087" spans="2:21">
      <c r="B1087" s="12">
        <v>1</v>
      </c>
      <c r="C1087" t="s">
        <v>100</v>
      </c>
      <c r="G1087">
        <v>1999</v>
      </c>
      <c r="H1087">
        <v>11</v>
      </c>
      <c r="I1087">
        <v>0</v>
      </c>
      <c r="J1087" t="s">
        <v>30</v>
      </c>
      <c r="K1087" s="45" t="s">
        <v>35</v>
      </c>
      <c r="L1087">
        <f t="shared" si="355"/>
        <v>2009</v>
      </c>
      <c r="M1087" s="15">
        <f t="shared" si="356"/>
        <v>2009.9166666666667</v>
      </c>
      <c r="N1087" s="5">
        <v>3094.82</v>
      </c>
      <c r="O1087" s="5">
        <f t="shared" si="357"/>
        <v>3094.82</v>
      </c>
      <c r="P1087" s="5">
        <f t="shared" si="358"/>
        <v>25.790166666666668</v>
      </c>
      <c r="Q1087" s="5">
        <f t="shared" si="359"/>
        <v>309.48200000000003</v>
      </c>
      <c r="R1087" s="5">
        <f t="shared" si="360"/>
        <v>0</v>
      </c>
      <c r="S1087" s="5">
        <f t="shared" si="361"/>
        <v>3094.82</v>
      </c>
      <c r="T1087" s="5">
        <f t="shared" si="362"/>
        <v>3094.82</v>
      </c>
      <c r="U1087" s="5">
        <f t="shared" si="363"/>
        <v>0</v>
      </c>
    </row>
    <row r="1088" spans="2:21">
      <c r="B1088" s="12">
        <v>2</v>
      </c>
      <c r="C1088" t="s">
        <v>100</v>
      </c>
      <c r="G1088">
        <v>1999</v>
      </c>
      <c r="H1088">
        <v>12</v>
      </c>
      <c r="I1088">
        <v>0</v>
      </c>
      <c r="J1088" t="s">
        <v>30</v>
      </c>
      <c r="K1088" s="45" t="s">
        <v>35</v>
      </c>
      <c r="L1088">
        <f t="shared" si="355"/>
        <v>2009</v>
      </c>
      <c r="M1088" s="15">
        <f t="shared" si="356"/>
        <v>2010</v>
      </c>
      <c r="N1088" s="5">
        <v>8948.64</v>
      </c>
      <c r="O1088" s="5">
        <f t="shared" si="357"/>
        <v>8948.64</v>
      </c>
      <c r="P1088" s="5">
        <f t="shared" si="358"/>
        <v>74.571999999999989</v>
      </c>
      <c r="Q1088" s="5">
        <f t="shared" si="359"/>
        <v>894.86399999999981</v>
      </c>
      <c r="R1088" s="5">
        <f t="shared" si="360"/>
        <v>0</v>
      </c>
      <c r="S1088" s="5">
        <f t="shared" si="361"/>
        <v>8948.64</v>
      </c>
      <c r="T1088" s="5">
        <f t="shared" si="362"/>
        <v>8948.64</v>
      </c>
      <c r="U1088" s="5">
        <f t="shared" si="363"/>
        <v>0</v>
      </c>
    </row>
    <row r="1089" spans="2:21">
      <c r="B1089" s="12">
        <v>8</v>
      </c>
      <c r="C1089" t="s">
        <v>100</v>
      </c>
      <c r="G1089">
        <v>2000</v>
      </c>
      <c r="H1089">
        <v>2</v>
      </c>
      <c r="I1089">
        <v>0</v>
      </c>
      <c r="J1089" t="s">
        <v>30</v>
      </c>
      <c r="K1089" s="45" t="s">
        <v>35</v>
      </c>
      <c r="L1089">
        <f t="shared" si="355"/>
        <v>2010</v>
      </c>
      <c r="M1089" s="15">
        <f t="shared" si="356"/>
        <v>2010.1666666666667</v>
      </c>
      <c r="N1089" s="5">
        <v>35566.5</v>
      </c>
      <c r="O1089" s="5">
        <f t="shared" si="357"/>
        <v>35566.5</v>
      </c>
      <c r="P1089" s="5">
        <f t="shared" si="358"/>
        <v>296.38749999999999</v>
      </c>
      <c r="Q1089" s="5">
        <f t="shared" si="359"/>
        <v>3556.6499999999996</v>
      </c>
      <c r="R1089" s="5">
        <f t="shared" si="360"/>
        <v>0</v>
      </c>
      <c r="S1089" s="5">
        <f t="shared" si="361"/>
        <v>35566.5</v>
      </c>
      <c r="T1089" s="5">
        <f t="shared" si="362"/>
        <v>35566.5</v>
      </c>
      <c r="U1089" s="5">
        <f t="shared" si="363"/>
        <v>0</v>
      </c>
    </row>
    <row r="1090" spans="2:21">
      <c r="B1090" s="12">
        <v>7</v>
      </c>
      <c r="C1090" t="s">
        <v>100</v>
      </c>
      <c r="G1090">
        <v>2000</v>
      </c>
      <c r="H1090">
        <v>2</v>
      </c>
      <c r="I1090">
        <v>0</v>
      </c>
      <c r="J1090" t="s">
        <v>30</v>
      </c>
      <c r="K1090" s="45" t="s">
        <v>35</v>
      </c>
      <c r="L1090">
        <f t="shared" si="355"/>
        <v>2010</v>
      </c>
      <c r="M1090" s="15">
        <f t="shared" si="356"/>
        <v>2010.1666666666667</v>
      </c>
      <c r="N1090" s="5">
        <v>39421.800000000003</v>
      </c>
      <c r="O1090" s="5">
        <f t="shared" si="357"/>
        <v>39421.800000000003</v>
      </c>
      <c r="P1090" s="5">
        <f t="shared" si="358"/>
        <v>328.51500000000004</v>
      </c>
      <c r="Q1090" s="5">
        <f t="shared" si="359"/>
        <v>3942.1800000000003</v>
      </c>
      <c r="R1090" s="5">
        <f t="shared" si="360"/>
        <v>0</v>
      </c>
      <c r="S1090" s="5">
        <f t="shared" si="361"/>
        <v>39421.800000000003</v>
      </c>
      <c r="T1090" s="5">
        <f t="shared" si="362"/>
        <v>39421.800000000003</v>
      </c>
      <c r="U1090" s="5">
        <f t="shared" si="363"/>
        <v>0</v>
      </c>
    </row>
    <row r="1091" spans="2:21">
      <c r="B1091" s="12">
        <v>2</v>
      </c>
      <c r="C1091" t="s">
        <v>268</v>
      </c>
      <c r="G1091">
        <v>2000</v>
      </c>
      <c r="H1091">
        <v>4</v>
      </c>
      <c r="I1091">
        <v>0</v>
      </c>
      <c r="J1091" t="s">
        <v>30</v>
      </c>
      <c r="K1091" s="45" t="s">
        <v>35</v>
      </c>
      <c r="L1091">
        <f t="shared" si="355"/>
        <v>2010</v>
      </c>
      <c r="M1091" s="15">
        <f t="shared" si="356"/>
        <v>2010.3333333333333</v>
      </c>
      <c r="N1091" s="5">
        <v>10507.05</v>
      </c>
      <c r="O1091" s="5">
        <f t="shared" si="357"/>
        <v>10507.05</v>
      </c>
      <c r="P1091" s="5">
        <f t="shared" si="358"/>
        <v>87.558749999999989</v>
      </c>
      <c r="Q1091" s="5">
        <f t="shared" si="359"/>
        <v>1050.7049999999999</v>
      </c>
      <c r="R1091" s="5">
        <f t="shared" si="360"/>
        <v>0</v>
      </c>
      <c r="S1091" s="5">
        <f t="shared" si="361"/>
        <v>10507.05</v>
      </c>
      <c r="T1091" s="5">
        <f t="shared" si="362"/>
        <v>10507.05</v>
      </c>
      <c r="U1091" s="5">
        <f t="shared" si="363"/>
        <v>0</v>
      </c>
    </row>
    <row r="1092" spans="2:21">
      <c r="B1092" s="12">
        <v>9</v>
      </c>
      <c r="C1092" t="s">
        <v>84</v>
      </c>
      <c r="G1092">
        <v>2000</v>
      </c>
      <c r="H1092">
        <v>4</v>
      </c>
      <c r="I1092">
        <v>0</v>
      </c>
      <c r="J1092" t="s">
        <v>30</v>
      </c>
      <c r="K1092" s="45" t="s">
        <v>35</v>
      </c>
      <c r="L1092">
        <f t="shared" si="355"/>
        <v>2010</v>
      </c>
      <c r="M1092" s="15">
        <f t="shared" si="356"/>
        <v>2010.3333333333333</v>
      </c>
      <c r="N1092" s="5">
        <v>36109.5</v>
      </c>
      <c r="O1092" s="5">
        <f t="shared" si="357"/>
        <v>36109.5</v>
      </c>
      <c r="P1092" s="5">
        <f t="shared" si="358"/>
        <v>300.91249999999997</v>
      </c>
      <c r="Q1092" s="5">
        <f t="shared" si="359"/>
        <v>3610.95</v>
      </c>
      <c r="R1092" s="5">
        <f t="shared" si="360"/>
        <v>0</v>
      </c>
      <c r="S1092" s="5">
        <f t="shared" si="361"/>
        <v>36109.5</v>
      </c>
      <c r="T1092" s="5">
        <f t="shared" si="362"/>
        <v>36109.5</v>
      </c>
      <c r="U1092" s="5">
        <f t="shared" si="363"/>
        <v>0</v>
      </c>
    </row>
    <row r="1093" spans="2:21">
      <c r="B1093" s="12">
        <v>4</v>
      </c>
      <c r="C1093" t="s">
        <v>84</v>
      </c>
      <c r="G1093">
        <v>2000</v>
      </c>
      <c r="H1093">
        <v>4</v>
      </c>
      <c r="I1093">
        <v>0</v>
      </c>
      <c r="J1093" t="s">
        <v>30</v>
      </c>
      <c r="K1093" s="45" t="s">
        <v>35</v>
      </c>
      <c r="L1093">
        <f t="shared" si="355"/>
        <v>2010</v>
      </c>
      <c r="M1093" s="15">
        <f t="shared" si="356"/>
        <v>2010.3333333333333</v>
      </c>
      <c r="N1093" s="5">
        <v>18326.25</v>
      </c>
      <c r="O1093" s="5">
        <f t="shared" si="357"/>
        <v>18326.25</v>
      </c>
      <c r="P1093" s="5">
        <f t="shared" si="358"/>
        <v>152.71875</v>
      </c>
      <c r="Q1093" s="5">
        <f t="shared" si="359"/>
        <v>1832.625</v>
      </c>
      <c r="R1093" s="5">
        <f t="shared" si="360"/>
        <v>0</v>
      </c>
      <c r="S1093" s="5">
        <f t="shared" si="361"/>
        <v>18326.25</v>
      </c>
      <c r="T1093" s="5">
        <f t="shared" si="362"/>
        <v>18326.25</v>
      </c>
      <c r="U1093" s="5">
        <f t="shared" si="363"/>
        <v>0</v>
      </c>
    </row>
    <row r="1095" spans="2:21">
      <c r="B1095">
        <f>SUM(B1016:B1094)</f>
        <v>214</v>
      </c>
      <c r="C1095" s="2" t="s">
        <v>1176</v>
      </c>
    </row>
    <row r="1097" spans="2:21">
      <c r="B1097" s="12">
        <v>500</v>
      </c>
      <c r="C1097" t="s">
        <v>491</v>
      </c>
      <c r="E1097">
        <v>65433</v>
      </c>
      <c r="G1097">
        <v>2009</v>
      </c>
      <c r="H1097">
        <v>4</v>
      </c>
      <c r="I1097">
        <v>0</v>
      </c>
      <c r="J1097" t="s">
        <v>30</v>
      </c>
      <c r="K1097" s="45">
        <v>7</v>
      </c>
      <c r="L1097">
        <f>G1097+K1097</f>
        <v>2016</v>
      </c>
      <c r="M1097" s="15">
        <f>+L1097+(H1097/12)</f>
        <v>2016.3333333333333</v>
      </c>
      <c r="N1097" s="5">
        <v>17214.75</v>
      </c>
      <c r="O1097" s="5">
        <f>N1097-N1097*I1097</f>
        <v>17214.75</v>
      </c>
      <c r="P1097" s="5">
        <f>O1097/K1097/12</f>
        <v>204.9375</v>
      </c>
      <c r="Q1097" s="5">
        <f>P1097*12</f>
        <v>2459.25</v>
      </c>
      <c r="R1097" s="5">
        <f>+IF(M1097&lt;=$O$5,0,IF(L1097&gt;$O$4,Q1097,(P1097*H1097)))</f>
        <v>0</v>
      </c>
      <c r="S1097" s="5">
        <f>+IF(R1097=0,N1097,IF($O$3-G1097&lt;1,0,(($O$3-G1097)*Q1097)))</f>
        <v>17214.75</v>
      </c>
      <c r="T1097" s="5">
        <f>+IF(R1097=0,S1097,S1097+R1097)</f>
        <v>17214.75</v>
      </c>
      <c r="U1097" s="5">
        <f>+N1097-T1097</f>
        <v>0</v>
      </c>
    </row>
    <row r="1098" spans="2:21">
      <c r="B1098" s="12">
        <v>360</v>
      </c>
      <c r="C1098" t="s">
        <v>491</v>
      </c>
      <c r="E1098">
        <v>82068</v>
      </c>
      <c r="G1098">
        <v>2011</v>
      </c>
      <c r="H1098">
        <v>4</v>
      </c>
      <c r="I1098">
        <v>0</v>
      </c>
      <c r="J1098" t="s">
        <v>30</v>
      </c>
      <c r="K1098" s="45">
        <v>7</v>
      </c>
      <c r="L1098">
        <f>G1098+K1098</f>
        <v>2018</v>
      </c>
      <c r="M1098" s="15">
        <f>+L1098+(H1098/12)</f>
        <v>2018.3333333333333</v>
      </c>
      <c r="N1098" s="5">
        <v>12721.21</v>
      </c>
      <c r="O1098" s="5">
        <f>N1098-N1098*I1098</f>
        <v>12721.21</v>
      </c>
      <c r="P1098" s="5">
        <f>O1098/K1098/12</f>
        <v>151.44297619047617</v>
      </c>
      <c r="Q1098" s="5">
        <f>P1098*12</f>
        <v>1817.315714285714</v>
      </c>
      <c r="R1098" s="5">
        <f>+IF(M1098&lt;=$O$5,0,IF(L1098&gt;$O$4,Q1098,(P1098*H1098)))</f>
        <v>0</v>
      </c>
      <c r="S1098" s="5">
        <f>+IF(R1098=0,N1098,IF($O$3-G1098&lt;1,0,(($O$3-G1098)*Q1098)))</f>
        <v>12721.21</v>
      </c>
      <c r="T1098" s="5">
        <f>+IF(R1098=0,S1098,S1098+R1098)</f>
        <v>12721.21</v>
      </c>
      <c r="U1098" s="5">
        <f>+N1098-T1098</f>
        <v>0</v>
      </c>
    </row>
    <row r="1099" spans="2:21">
      <c r="B1099" s="12">
        <v>440</v>
      </c>
      <c r="C1099" t="s">
        <v>491</v>
      </c>
      <c r="E1099">
        <v>82070</v>
      </c>
      <c r="G1099">
        <v>2011</v>
      </c>
      <c r="H1099">
        <v>4</v>
      </c>
      <c r="I1099">
        <v>0</v>
      </c>
      <c r="J1099" t="s">
        <v>30</v>
      </c>
      <c r="K1099" s="45">
        <v>7</v>
      </c>
      <c r="L1099">
        <f>G1099+K1099</f>
        <v>2018</v>
      </c>
      <c r="M1099" s="15">
        <f>+L1099+(H1099/12)</f>
        <v>2018.3333333333333</v>
      </c>
      <c r="N1099" s="5">
        <v>15548.14</v>
      </c>
      <c r="O1099" s="5">
        <f>N1099-N1099*I1099</f>
        <v>15548.14</v>
      </c>
      <c r="P1099" s="5">
        <f>O1099/K1099/12</f>
        <v>185.09690476190474</v>
      </c>
      <c r="Q1099" s="5">
        <f>P1099*12</f>
        <v>2221.1628571428569</v>
      </c>
      <c r="R1099" s="5">
        <f>+IF(M1099&lt;=$O$5,0,IF(L1099&gt;$O$4,Q1099,(P1099*H1099)))</f>
        <v>0</v>
      </c>
      <c r="S1099" s="5">
        <f>+IF(R1099=0,N1099,IF($O$3-G1099&lt;1,0,(($O$3-G1099)*Q1099)))</f>
        <v>15548.14</v>
      </c>
      <c r="T1099" s="5">
        <f>+IF(R1099=0,S1099,S1099+R1099)</f>
        <v>15548.14</v>
      </c>
      <c r="U1099" s="5">
        <f>+N1099-T1099</f>
        <v>0</v>
      </c>
    </row>
    <row r="1101" spans="2:21">
      <c r="B1101">
        <f>SUM(B1097:B1100)</f>
        <v>1300</v>
      </c>
      <c r="C1101" t="s">
        <v>1177</v>
      </c>
    </row>
    <row r="1103" spans="2:21">
      <c r="B1103" s="12">
        <v>21</v>
      </c>
      <c r="C1103" t="s">
        <v>117</v>
      </c>
      <c r="G1103">
        <v>2001</v>
      </c>
      <c r="H1103">
        <v>6</v>
      </c>
      <c r="I1103">
        <v>0</v>
      </c>
      <c r="J1103" t="s">
        <v>30</v>
      </c>
      <c r="K1103" s="45" t="s">
        <v>35</v>
      </c>
      <c r="L1103">
        <f t="shared" ref="L1103:L1115" si="364">G1103+K1103</f>
        <v>2011</v>
      </c>
      <c r="M1103" s="15">
        <f t="shared" ref="M1103:M1115" si="365">+L1103+(H1103/12)</f>
        <v>2011.5</v>
      </c>
      <c r="N1103" s="5">
        <v>110845.44</v>
      </c>
      <c r="O1103" s="5">
        <f t="shared" ref="O1103:O1115" si="366">N1103-N1103*I1103</f>
        <v>110845.44</v>
      </c>
      <c r="P1103" s="5">
        <f t="shared" ref="P1103:P1115" si="367">O1103/K1103/12</f>
        <v>923.71199999999999</v>
      </c>
      <c r="Q1103" s="5">
        <f t="shared" ref="Q1103:Q1115" si="368">P1103*12</f>
        <v>11084.544</v>
      </c>
      <c r="R1103" s="5">
        <f t="shared" ref="R1103:R1115" si="369">+IF(M1103&lt;=$O$5,0,IF(L1103&gt;$O$4,Q1103,(P1103*H1103)))</f>
        <v>0</v>
      </c>
      <c r="S1103" s="5">
        <f t="shared" ref="S1103:S1115" si="370">+IF(R1103=0,N1103,IF($O$3-G1103&lt;1,0,(($O$3-G1103)*Q1103)))</f>
        <v>110845.44</v>
      </c>
      <c r="T1103" s="5">
        <f t="shared" ref="T1103:T1115" si="371">+IF(R1103=0,S1103,S1103+R1103)</f>
        <v>110845.44</v>
      </c>
      <c r="U1103" s="5">
        <f t="shared" ref="U1103:U1115" si="372">+N1103-T1103</f>
        <v>0</v>
      </c>
    </row>
    <row r="1104" spans="2:21">
      <c r="B1104" s="12">
        <v>2</v>
      </c>
      <c r="C1104" t="s">
        <v>117</v>
      </c>
      <c r="G1104">
        <v>2002</v>
      </c>
      <c r="H1104">
        <v>3</v>
      </c>
      <c r="I1104">
        <v>0</v>
      </c>
      <c r="J1104" t="s">
        <v>30</v>
      </c>
      <c r="K1104" s="45" t="s">
        <v>35</v>
      </c>
      <c r="L1104">
        <f t="shared" si="364"/>
        <v>2012</v>
      </c>
      <c r="M1104" s="15">
        <f t="shared" si="365"/>
        <v>2012.25</v>
      </c>
      <c r="N1104" s="5">
        <v>9617.92</v>
      </c>
      <c r="O1104" s="5">
        <f t="shared" si="366"/>
        <v>9617.92</v>
      </c>
      <c r="P1104" s="5">
        <f t="shared" si="367"/>
        <v>80.149333333333331</v>
      </c>
      <c r="Q1104" s="5">
        <f t="shared" si="368"/>
        <v>961.79199999999992</v>
      </c>
      <c r="R1104" s="5">
        <f t="shared" si="369"/>
        <v>0</v>
      </c>
      <c r="S1104" s="5">
        <f t="shared" si="370"/>
        <v>9617.92</v>
      </c>
      <c r="T1104" s="5">
        <f t="shared" si="371"/>
        <v>9617.92</v>
      </c>
      <c r="U1104" s="5">
        <f t="shared" si="372"/>
        <v>0</v>
      </c>
    </row>
    <row r="1105" spans="2:21">
      <c r="B1105" s="12">
        <v>123</v>
      </c>
      <c r="C1105" t="s">
        <v>115</v>
      </c>
      <c r="G1105">
        <v>2002</v>
      </c>
      <c r="H1105">
        <v>10</v>
      </c>
      <c r="I1105">
        <v>0</v>
      </c>
      <c r="J1105" t="s">
        <v>30</v>
      </c>
      <c r="K1105" s="45" t="s">
        <v>35</v>
      </c>
      <c r="L1105">
        <f t="shared" si="364"/>
        <v>2012</v>
      </c>
      <c r="M1105" s="15">
        <f t="shared" si="365"/>
        <v>2012.8333333333333</v>
      </c>
      <c r="N1105" s="5">
        <v>50607.040000000001</v>
      </c>
      <c r="O1105" s="5">
        <f t="shared" si="366"/>
        <v>50607.040000000001</v>
      </c>
      <c r="P1105" s="5">
        <f t="shared" si="367"/>
        <v>421.72533333333331</v>
      </c>
      <c r="Q1105" s="5">
        <f t="shared" si="368"/>
        <v>5060.7039999999997</v>
      </c>
      <c r="R1105" s="5">
        <f t="shared" si="369"/>
        <v>0</v>
      </c>
      <c r="S1105" s="5">
        <f t="shared" si="370"/>
        <v>50607.040000000001</v>
      </c>
      <c r="T1105" s="5">
        <f t="shared" si="371"/>
        <v>50607.040000000001</v>
      </c>
      <c r="U1105" s="5">
        <f t="shared" si="372"/>
        <v>0</v>
      </c>
    </row>
    <row r="1106" spans="2:21">
      <c r="B1106" s="12">
        <v>6</v>
      </c>
      <c r="C1106" t="s">
        <v>117</v>
      </c>
      <c r="G1106">
        <v>2003</v>
      </c>
      <c r="H1106">
        <v>1</v>
      </c>
      <c r="I1106">
        <v>0</v>
      </c>
      <c r="J1106" t="s">
        <v>30</v>
      </c>
      <c r="K1106" s="45" t="s">
        <v>35</v>
      </c>
      <c r="L1106">
        <f t="shared" si="364"/>
        <v>2013</v>
      </c>
      <c r="M1106" s="15">
        <f t="shared" si="365"/>
        <v>2013.0833333333333</v>
      </c>
      <c r="N1106" s="5">
        <v>32634.560000000001</v>
      </c>
      <c r="O1106" s="5">
        <f t="shared" si="366"/>
        <v>32634.560000000001</v>
      </c>
      <c r="P1106" s="5">
        <f t="shared" si="367"/>
        <v>271.9546666666667</v>
      </c>
      <c r="Q1106" s="5">
        <f t="shared" si="368"/>
        <v>3263.4560000000001</v>
      </c>
      <c r="R1106" s="5">
        <f t="shared" si="369"/>
        <v>0</v>
      </c>
      <c r="S1106" s="5">
        <f t="shared" si="370"/>
        <v>32634.560000000001</v>
      </c>
      <c r="T1106" s="5">
        <f t="shared" si="371"/>
        <v>32634.560000000001</v>
      </c>
      <c r="U1106" s="5">
        <f t="shared" si="372"/>
        <v>0</v>
      </c>
    </row>
    <row r="1107" spans="2:21">
      <c r="B1107" s="12">
        <v>3</v>
      </c>
      <c r="C1107" t="s">
        <v>117</v>
      </c>
      <c r="G1107">
        <v>2003</v>
      </c>
      <c r="H1107">
        <v>4</v>
      </c>
      <c r="I1107">
        <v>0</v>
      </c>
      <c r="J1107" t="s">
        <v>30</v>
      </c>
      <c r="K1107" s="45" t="s">
        <v>35</v>
      </c>
      <c r="L1107">
        <f t="shared" si="364"/>
        <v>2013</v>
      </c>
      <c r="M1107" s="15">
        <f t="shared" si="365"/>
        <v>2013.3333333333333</v>
      </c>
      <c r="N1107" s="5">
        <v>18648.32</v>
      </c>
      <c r="O1107" s="5">
        <f t="shared" si="366"/>
        <v>18648.32</v>
      </c>
      <c r="P1107" s="5">
        <f t="shared" si="367"/>
        <v>155.40266666666665</v>
      </c>
      <c r="Q1107" s="5">
        <f t="shared" si="368"/>
        <v>1864.8319999999999</v>
      </c>
      <c r="R1107" s="5">
        <f t="shared" si="369"/>
        <v>0</v>
      </c>
      <c r="S1107" s="5">
        <f t="shared" si="370"/>
        <v>18648.32</v>
      </c>
      <c r="T1107" s="5">
        <f t="shared" si="371"/>
        <v>18648.32</v>
      </c>
      <c r="U1107" s="5">
        <f t="shared" si="372"/>
        <v>0</v>
      </c>
    </row>
    <row r="1108" spans="2:21">
      <c r="B1108" s="12">
        <v>2</v>
      </c>
      <c r="C1108" t="s">
        <v>277</v>
      </c>
      <c r="G1108">
        <v>2003</v>
      </c>
      <c r="H1108">
        <v>8</v>
      </c>
      <c r="I1108">
        <v>0</v>
      </c>
      <c r="J1108" t="s">
        <v>30</v>
      </c>
      <c r="K1108" s="45" t="s">
        <v>35</v>
      </c>
      <c r="L1108">
        <f t="shared" si="364"/>
        <v>2013</v>
      </c>
      <c r="M1108" s="15">
        <f t="shared" si="365"/>
        <v>2013.6666666666667</v>
      </c>
      <c r="N1108" s="5">
        <v>9324.16</v>
      </c>
      <c r="O1108" s="5">
        <f t="shared" si="366"/>
        <v>9324.16</v>
      </c>
      <c r="P1108" s="5">
        <f t="shared" si="367"/>
        <v>77.701333333333324</v>
      </c>
      <c r="Q1108" s="5">
        <f t="shared" si="368"/>
        <v>932.41599999999994</v>
      </c>
      <c r="R1108" s="5">
        <f t="shared" si="369"/>
        <v>0</v>
      </c>
      <c r="S1108" s="5">
        <f t="shared" si="370"/>
        <v>9324.16</v>
      </c>
      <c r="T1108" s="5">
        <f t="shared" si="371"/>
        <v>9324.16</v>
      </c>
      <c r="U1108" s="5">
        <f t="shared" si="372"/>
        <v>0</v>
      </c>
    </row>
    <row r="1109" spans="2:21">
      <c r="B1109" s="12">
        <v>3</v>
      </c>
      <c r="C1109" t="s">
        <v>117</v>
      </c>
      <c r="G1109">
        <v>2003</v>
      </c>
      <c r="H1109">
        <v>11</v>
      </c>
      <c r="I1109">
        <v>0</v>
      </c>
      <c r="J1109" t="s">
        <v>30</v>
      </c>
      <c r="K1109" s="45" t="s">
        <v>35</v>
      </c>
      <c r="L1109">
        <f t="shared" si="364"/>
        <v>2013</v>
      </c>
      <c r="M1109" s="15">
        <f t="shared" si="365"/>
        <v>2013.9166666666667</v>
      </c>
      <c r="N1109" s="5">
        <v>18648.32</v>
      </c>
      <c r="O1109" s="5">
        <f t="shared" si="366"/>
        <v>18648.32</v>
      </c>
      <c r="P1109" s="5">
        <f t="shared" si="367"/>
        <v>155.40266666666665</v>
      </c>
      <c r="Q1109" s="5">
        <f t="shared" si="368"/>
        <v>1864.8319999999999</v>
      </c>
      <c r="R1109" s="5">
        <f t="shared" si="369"/>
        <v>0</v>
      </c>
      <c r="S1109" s="5">
        <f t="shared" si="370"/>
        <v>18648.32</v>
      </c>
      <c r="T1109" s="5">
        <f t="shared" si="371"/>
        <v>18648.32</v>
      </c>
      <c r="U1109" s="5">
        <f t="shared" si="372"/>
        <v>0</v>
      </c>
    </row>
    <row r="1110" spans="2:21">
      <c r="B1110" s="12">
        <v>2</v>
      </c>
      <c r="C1110" t="s">
        <v>117</v>
      </c>
      <c r="G1110">
        <v>2004</v>
      </c>
      <c r="H1110">
        <v>3</v>
      </c>
      <c r="I1110">
        <v>0</v>
      </c>
      <c r="J1110" t="s">
        <v>30</v>
      </c>
      <c r="K1110" s="45" t="s">
        <v>35</v>
      </c>
      <c r="L1110">
        <f t="shared" si="364"/>
        <v>2014</v>
      </c>
      <c r="M1110" s="15">
        <f t="shared" si="365"/>
        <v>2014.25</v>
      </c>
      <c r="N1110" s="5">
        <v>12158.4</v>
      </c>
      <c r="O1110" s="5">
        <f t="shared" si="366"/>
        <v>12158.4</v>
      </c>
      <c r="P1110" s="5">
        <f t="shared" si="367"/>
        <v>101.32</v>
      </c>
      <c r="Q1110" s="5">
        <f t="shared" si="368"/>
        <v>1215.8399999999999</v>
      </c>
      <c r="R1110" s="5">
        <f t="shared" si="369"/>
        <v>0</v>
      </c>
      <c r="S1110" s="5">
        <f t="shared" si="370"/>
        <v>12158.4</v>
      </c>
      <c r="T1110" s="5">
        <f t="shared" si="371"/>
        <v>12158.4</v>
      </c>
      <c r="U1110" s="5">
        <f t="shared" si="372"/>
        <v>0</v>
      </c>
    </row>
    <row r="1111" spans="2:21">
      <c r="B1111" s="12">
        <v>4</v>
      </c>
      <c r="C1111" t="s">
        <v>117</v>
      </c>
      <c r="G1111">
        <v>2004</v>
      </c>
      <c r="H1111">
        <v>4</v>
      </c>
      <c r="I1111">
        <v>0</v>
      </c>
      <c r="J1111" t="s">
        <v>30</v>
      </c>
      <c r="K1111" s="45" t="s">
        <v>35</v>
      </c>
      <c r="L1111">
        <f t="shared" si="364"/>
        <v>2014</v>
      </c>
      <c r="M1111" s="15">
        <f t="shared" si="365"/>
        <v>2014.3333333333333</v>
      </c>
      <c r="N1111" s="5">
        <v>20084.48</v>
      </c>
      <c r="O1111" s="5">
        <f t="shared" si="366"/>
        <v>20084.48</v>
      </c>
      <c r="P1111" s="5">
        <f t="shared" si="367"/>
        <v>167.37066666666666</v>
      </c>
      <c r="Q1111" s="5">
        <f t="shared" si="368"/>
        <v>2008.4479999999999</v>
      </c>
      <c r="R1111" s="5">
        <f t="shared" si="369"/>
        <v>0</v>
      </c>
      <c r="S1111" s="5">
        <f t="shared" si="370"/>
        <v>20084.48</v>
      </c>
      <c r="T1111" s="5">
        <f t="shared" si="371"/>
        <v>20084.48</v>
      </c>
      <c r="U1111" s="5">
        <f t="shared" si="372"/>
        <v>0</v>
      </c>
    </row>
    <row r="1112" spans="2:21">
      <c r="B1112" s="12">
        <v>4</v>
      </c>
      <c r="C1112" t="s">
        <v>117</v>
      </c>
      <c r="G1112">
        <v>2004</v>
      </c>
      <c r="H1112">
        <v>5</v>
      </c>
      <c r="I1112">
        <v>0</v>
      </c>
      <c r="J1112" t="s">
        <v>30</v>
      </c>
      <c r="K1112" s="45" t="s">
        <v>35</v>
      </c>
      <c r="L1112">
        <f t="shared" si="364"/>
        <v>2014</v>
      </c>
      <c r="M1112" s="15">
        <f t="shared" si="365"/>
        <v>2014.4166666666667</v>
      </c>
      <c r="N1112" s="5">
        <v>21716.48</v>
      </c>
      <c r="O1112" s="5">
        <f t="shared" si="366"/>
        <v>21716.48</v>
      </c>
      <c r="P1112" s="5">
        <f t="shared" si="367"/>
        <v>180.97066666666669</v>
      </c>
      <c r="Q1112" s="5">
        <f t="shared" si="368"/>
        <v>2171.6480000000001</v>
      </c>
      <c r="R1112" s="5">
        <f t="shared" si="369"/>
        <v>0</v>
      </c>
      <c r="S1112" s="5">
        <f t="shared" si="370"/>
        <v>21716.48</v>
      </c>
      <c r="T1112" s="5">
        <f t="shared" si="371"/>
        <v>21716.48</v>
      </c>
      <c r="U1112" s="5">
        <f t="shared" si="372"/>
        <v>0</v>
      </c>
    </row>
    <row r="1113" spans="2:21">
      <c r="B1113" s="12">
        <v>7</v>
      </c>
      <c r="C1113" t="s">
        <v>117</v>
      </c>
      <c r="G1113">
        <v>2004</v>
      </c>
      <c r="H1113">
        <v>6</v>
      </c>
      <c r="I1113">
        <v>0</v>
      </c>
      <c r="J1113" t="s">
        <v>30</v>
      </c>
      <c r="K1113" s="45" t="s">
        <v>35</v>
      </c>
      <c r="L1113">
        <f t="shared" si="364"/>
        <v>2014</v>
      </c>
      <c r="M1113" s="15">
        <f t="shared" si="365"/>
        <v>2014.5</v>
      </c>
      <c r="N1113" s="5">
        <v>37764.480000000003</v>
      </c>
      <c r="O1113" s="5">
        <f t="shared" si="366"/>
        <v>37764.480000000003</v>
      </c>
      <c r="P1113" s="5">
        <f t="shared" si="367"/>
        <v>314.70400000000001</v>
      </c>
      <c r="Q1113" s="5">
        <f t="shared" si="368"/>
        <v>3776.4480000000003</v>
      </c>
      <c r="R1113" s="5">
        <f t="shared" si="369"/>
        <v>0</v>
      </c>
      <c r="S1113" s="5">
        <f t="shared" si="370"/>
        <v>37764.480000000003</v>
      </c>
      <c r="T1113" s="5">
        <f t="shared" si="371"/>
        <v>37764.480000000003</v>
      </c>
      <c r="U1113" s="5">
        <f t="shared" si="372"/>
        <v>0</v>
      </c>
    </row>
    <row r="1114" spans="2:21">
      <c r="B1114" s="12">
        <v>5</v>
      </c>
      <c r="C1114" t="s">
        <v>117</v>
      </c>
      <c r="G1114">
        <v>2004</v>
      </c>
      <c r="H1114">
        <v>12</v>
      </c>
      <c r="I1114">
        <v>0</v>
      </c>
      <c r="J1114" t="s">
        <v>30</v>
      </c>
      <c r="K1114" s="45" t="s">
        <v>35</v>
      </c>
      <c r="L1114">
        <f t="shared" si="364"/>
        <v>2014</v>
      </c>
      <c r="M1114" s="15">
        <f t="shared" si="365"/>
        <v>2015</v>
      </c>
      <c r="N1114" s="5">
        <v>25393.919999999998</v>
      </c>
      <c r="O1114" s="5">
        <f t="shared" si="366"/>
        <v>25393.919999999998</v>
      </c>
      <c r="P1114" s="5">
        <f t="shared" si="367"/>
        <v>211.61599999999999</v>
      </c>
      <c r="Q1114" s="5">
        <f t="shared" si="368"/>
        <v>2539.3919999999998</v>
      </c>
      <c r="R1114" s="5">
        <f t="shared" si="369"/>
        <v>0</v>
      </c>
      <c r="S1114" s="5">
        <f t="shared" si="370"/>
        <v>25393.919999999998</v>
      </c>
      <c r="T1114" s="5">
        <f t="shared" si="371"/>
        <v>25393.919999999998</v>
      </c>
      <c r="U1114" s="5">
        <f t="shared" si="372"/>
        <v>0</v>
      </c>
    </row>
    <row r="1115" spans="2:21">
      <c r="B1115" s="12">
        <v>160</v>
      </c>
      <c r="C1115" t="s">
        <v>876</v>
      </c>
      <c r="E1115">
        <v>182369</v>
      </c>
      <c r="G1115">
        <v>2008</v>
      </c>
      <c r="H1115">
        <v>11</v>
      </c>
      <c r="I1115">
        <v>0</v>
      </c>
      <c r="J1115" t="s">
        <v>30</v>
      </c>
      <c r="K1115" s="45">
        <v>7</v>
      </c>
      <c r="L1115">
        <f t="shared" si="364"/>
        <v>2015</v>
      </c>
      <c r="M1115" s="15">
        <f t="shared" si="365"/>
        <v>2015.9166666666667</v>
      </c>
      <c r="N1115" s="5">
        <v>72645.960000000006</v>
      </c>
      <c r="O1115" s="5">
        <f t="shared" si="366"/>
        <v>72645.960000000006</v>
      </c>
      <c r="P1115" s="5">
        <f t="shared" si="367"/>
        <v>864.83285714285728</v>
      </c>
      <c r="Q1115" s="5">
        <f t="shared" si="368"/>
        <v>10377.994285714287</v>
      </c>
      <c r="R1115" s="5">
        <f t="shared" si="369"/>
        <v>0</v>
      </c>
      <c r="S1115" s="5">
        <f t="shared" si="370"/>
        <v>72645.960000000006</v>
      </c>
      <c r="T1115" s="5">
        <f t="shared" si="371"/>
        <v>72645.960000000006</v>
      </c>
      <c r="U1115" s="5">
        <f t="shared" si="372"/>
        <v>0</v>
      </c>
    </row>
    <row r="1117" spans="2:21">
      <c r="B1117">
        <f>SUM(B1103:B1116)</f>
        <v>342</v>
      </c>
      <c r="C1117" s="2" t="s">
        <v>1178</v>
      </c>
    </row>
    <row r="1119" spans="2:21">
      <c r="B1119" s="12">
        <v>277</v>
      </c>
      <c r="C1119" t="s">
        <v>368</v>
      </c>
      <c r="G1119">
        <v>2005</v>
      </c>
      <c r="H1119">
        <v>5</v>
      </c>
      <c r="I1119">
        <v>0</v>
      </c>
      <c r="J1119" t="s">
        <v>30</v>
      </c>
      <c r="K1119" s="45">
        <v>7</v>
      </c>
      <c r="L1119">
        <f>G1119+K1119</f>
        <v>2012</v>
      </c>
      <c r="M1119" s="15">
        <f>+L1119+(H1119/12)</f>
        <v>2012.4166666666667</v>
      </c>
      <c r="N1119" s="5">
        <v>12998.34</v>
      </c>
      <c r="O1119" s="5">
        <f>N1119-N1119*I1119</f>
        <v>12998.34</v>
      </c>
      <c r="P1119" s="5">
        <f>O1119/K1119/12</f>
        <v>154.74214285714285</v>
      </c>
      <c r="Q1119" s="5">
        <f>P1119*12</f>
        <v>1856.9057142857141</v>
      </c>
      <c r="R1119" s="5">
        <f>+IF(M1119&lt;=$O$5,0,IF(L1119&gt;$O$4,Q1119,(P1119*H1119)))</f>
        <v>0</v>
      </c>
      <c r="S1119" s="5">
        <f>+IF(R1119=0,N1119,IF($O$3-G1119&lt;1,0,(($O$3-G1119)*Q1119)))</f>
        <v>12998.34</v>
      </c>
      <c r="T1119" s="5">
        <f>+IF(R1119=0,S1119,S1119+R1119)</f>
        <v>12998.34</v>
      </c>
      <c r="U1119" s="5">
        <f>+N1119-T1119</f>
        <v>0</v>
      </c>
    </row>
    <row r="1120" spans="2:21">
      <c r="B1120" s="12">
        <v>270</v>
      </c>
      <c r="C1120" t="s">
        <v>118</v>
      </c>
      <c r="G1120">
        <v>2005</v>
      </c>
      <c r="H1120">
        <v>3</v>
      </c>
      <c r="I1120">
        <v>0</v>
      </c>
      <c r="J1120" t="s">
        <v>30</v>
      </c>
      <c r="K1120" s="45">
        <v>7</v>
      </c>
      <c r="L1120">
        <f>G1120+K1120</f>
        <v>2012</v>
      </c>
      <c r="M1120" s="15">
        <f>+L1120+(H1120/12)</f>
        <v>2012.25</v>
      </c>
      <c r="N1120" s="5">
        <v>12694.78</v>
      </c>
      <c r="O1120" s="5">
        <f>N1120-N1120*I1120</f>
        <v>12694.78</v>
      </c>
      <c r="P1120" s="5">
        <f>O1120/K1120/12</f>
        <v>151.12833333333336</v>
      </c>
      <c r="Q1120" s="5">
        <f>P1120*12</f>
        <v>1813.5400000000004</v>
      </c>
      <c r="R1120" s="5">
        <f>+IF(M1120&lt;=$O$5,0,IF(L1120&gt;$O$4,Q1120,(P1120*H1120)))</f>
        <v>0</v>
      </c>
      <c r="S1120" s="5">
        <f>+IF(R1120=0,N1120,IF($O$3-G1120&lt;1,0,(($O$3-G1120)*Q1120)))</f>
        <v>12694.78</v>
      </c>
      <c r="T1120" s="5">
        <f>+IF(R1120=0,S1120,S1120+R1120)</f>
        <v>12694.78</v>
      </c>
      <c r="U1120" s="5">
        <f>+N1120-T1120</f>
        <v>0</v>
      </c>
    </row>
    <row r="1121" spans="2:21" ht="15.75" thickBot="1"/>
    <row r="1122" spans="2:21" ht="15.75" thickBot="1">
      <c r="B1122" s="22">
        <f>SUM(B1119:B1121)</f>
        <v>547</v>
      </c>
      <c r="C1122" s="21" t="s">
        <v>1179</v>
      </c>
    </row>
    <row r="1124" spans="2:21">
      <c r="B1124" s="12">
        <v>200</v>
      </c>
      <c r="C1124" t="s">
        <v>289</v>
      </c>
      <c r="G1124">
        <v>1993</v>
      </c>
      <c r="H1124">
        <v>9</v>
      </c>
      <c r="I1124">
        <v>0</v>
      </c>
      <c r="J1124" t="s">
        <v>30</v>
      </c>
      <c r="K1124" s="45">
        <v>7</v>
      </c>
      <c r="L1124">
        <f t="shared" ref="L1124:L1151" si="373">G1124+K1124</f>
        <v>2000</v>
      </c>
      <c r="M1124" s="15">
        <f t="shared" ref="M1124:M1151" si="374">+L1124+(H1124/12)</f>
        <v>2000.75</v>
      </c>
      <c r="N1124" s="5">
        <v>9271</v>
      </c>
      <c r="O1124" s="5">
        <f t="shared" ref="O1124:O1151" si="375">N1124-N1124*I1124</f>
        <v>9271</v>
      </c>
      <c r="P1124" s="5">
        <f t="shared" ref="P1124:P1151" si="376">O1124/K1124/12</f>
        <v>110.36904761904761</v>
      </c>
      <c r="Q1124" s="5">
        <f t="shared" ref="Q1124:Q1151" si="377">P1124*12</f>
        <v>1324.4285714285713</v>
      </c>
      <c r="R1124" s="5">
        <f t="shared" ref="R1124:R1151" si="378">+IF(M1124&lt;=$O$5,0,IF(L1124&gt;$O$4,Q1124,(P1124*H1124)))</f>
        <v>0</v>
      </c>
      <c r="S1124" s="5">
        <f t="shared" ref="S1124:S1151" si="379">+IF(R1124=0,N1124,IF($O$3-G1124&lt;1,0,(($O$3-G1124)*Q1124)))</f>
        <v>9271</v>
      </c>
      <c r="T1124" s="5">
        <f t="shared" ref="T1124:T1151" si="380">+IF(R1124=0,S1124,S1124+R1124)</f>
        <v>9271</v>
      </c>
      <c r="U1124" s="5">
        <f t="shared" ref="U1124:U1151" si="381">+N1124-T1124</f>
        <v>0</v>
      </c>
    </row>
    <row r="1125" spans="2:21">
      <c r="B1125" s="12">
        <v>517</v>
      </c>
      <c r="C1125" t="s">
        <v>497</v>
      </c>
      <c r="G1125">
        <v>1994</v>
      </c>
      <c r="H1125">
        <v>12</v>
      </c>
      <c r="I1125">
        <v>0</v>
      </c>
      <c r="J1125" t="s">
        <v>30</v>
      </c>
      <c r="K1125" s="45">
        <v>7</v>
      </c>
      <c r="L1125">
        <f t="shared" si="373"/>
        <v>2001</v>
      </c>
      <c r="M1125" s="15">
        <f t="shared" si="374"/>
        <v>2002</v>
      </c>
      <c r="N1125" s="5">
        <v>24278</v>
      </c>
      <c r="O1125" s="5">
        <f t="shared" si="375"/>
        <v>24278</v>
      </c>
      <c r="P1125" s="5">
        <f t="shared" si="376"/>
        <v>289.02380952380952</v>
      </c>
      <c r="Q1125" s="5">
        <f t="shared" si="377"/>
        <v>3468.2857142857142</v>
      </c>
      <c r="R1125" s="5">
        <f t="shared" si="378"/>
        <v>0</v>
      </c>
      <c r="S1125" s="5">
        <f t="shared" si="379"/>
        <v>24278</v>
      </c>
      <c r="T1125" s="5">
        <f t="shared" si="380"/>
        <v>24278</v>
      </c>
      <c r="U1125" s="5">
        <f t="shared" si="381"/>
        <v>0</v>
      </c>
    </row>
    <row r="1126" spans="2:21">
      <c r="B1126" s="12">
        <v>500</v>
      </c>
      <c r="C1126" t="s">
        <v>497</v>
      </c>
      <c r="G1126">
        <v>1995</v>
      </c>
      <c r="H1126">
        <v>8</v>
      </c>
      <c r="I1126">
        <v>0</v>
      </c>
      <c r="J1126" t="s">
        <v>30</v>
      </c>
      <c r="K1126" s="45">
        <v>7</v>
      </c>
      <c r="L1126">
        <f t="shared" si="373"/>
        <v>2002</v>
      </c>
      <c r="M1126" s="15">
        <f t="shared" si="374"/>
        <v>2002.6666666666667</v>
      </c>
      <c r="N1126" s="5">
        <v>24278</v>
      </c>
      <c r="O1126" s="5">
        <f t="shared" si="375"/>
        <v>24278</v>
      </c>
      <c r="P1126" s="5">
        <f t="shared" si="376"/>
        <v>289.02380952380952</v>
      </c>
      <c r="Q1126" s="5">
        <f t="shared" si="377"/>
        <v>3468.2857142857142</v>
      </c>
      <c r="R1126" s="5">
        <f t="shared" si="378"/>
        <v>0</v>
      </c>
      <c r="S1126" s="5">
        <f t="shared" si="379"/>
        <v>24278</v>
      </c>
      <c r="T1126" s="5">
        <f t="shared" si="380"/>
        <v>24278</v>
      </c>
      <c r="U1126" s="5">
        <f t="shared" si="381"/>
        <v>0</v>
      </c>
    </row>
    <row r="1127" spans="2:21">
      <c r="B1127" s="12">
        <v>500</v>
      </c>
      <c r="C1127" t="s">
        <v>497</v>
      </c>
      <c r="G1127">
        <v>1995</v>
      </c>
      <c r="H1127">
        <v>9</v>
      </c>
      <c r="I1127">
        <v>0</v>
      </c>
      <c r="J1127" t="s">
        <v>30</v>
      </c>
      <c r="K1127" s="45">
        <v>7</v>
      </c>
      <c r="L1127">
        <f t="shared" si="373"/>
        <v>2002</v>
      </c>
      <c r="M1127" s="15">
        <f t="shared" si="374"/>
        <v>2002.75</v>
      </c>
      <c r="N1127" s="5">
        <v>24278</v>
      </c>
      <c r="O1127" s="5">
        <f t="shared" si="375"/>
        <v>24278</v>
      </c>
      <c r="P1127" s="5">
        <f t="shared" si="376"/>
        <v>289.02380952380952</v>
      </c>
      <c r="Q1127" s="5">
        <f t="shared" si="377"/>
        <v>3468.2857142857142</v>
      </c>
      <c r="R1127" s="5">
        <f t="shared" si="378"/>
        <v>0</v>
      </c>
      <c r="S1127" s="5">
        <f t="shared" si="379"/>
        <v>24278</v>
      </c>
      <c r="T1127" s="5">
        <f t="shared" si="380"/>
        <v>24278</v>
      </c>
      <c r="U1127" s="5">
        <f t="shared" si="381"/>
        <v>0</v>
      </c>
    </row>
    <row r="1128" spans="2:21">
      <c r="B1128" s="12">
        <v>500</v>
      </c>
      <c r="C1128" t="s">
        <v>289</v>
      </c>
      <c r="G1128">
        <v>1995</v>
      </c>
      <c r="H1128">
        <v>10</v>
      </c>
      <c r="I1128">
        <v>0</v>
      </c>
      <c r="J1128" t="s">
        <v>30</v>
      </c>
      <c r="K1128" s="45">
        <v>7</v>
      </c>
      <c r="L1128">
        <f t="shared" si="373"/>
        <v>2002</v>
      </c>
      <c r="M1128" s="15">
        <f t="shared" si="374"/>
        <v>2002.8333333333333</v>
      </c>
      <c r="N1128" s="5">
        <v>21500</v>
      </c>
      <c r="O1128" s="5">
        <f t="shared" si="375"/>
        <v>21500</v>
      </c>
      <c r="P1128" s="5">
        <f t="shared" si="376"/>
        <v>255.95238095238096</v>
      </c>
      <c r="Q1128" s="5">
        <f t="shared" si="377"/>
        <v>3071.4285714285716</v>
      </c>
      <c r="R1128" s="5">
        <f t="shared" si="378"/>
        <v>0</v>
      </c>
      <c r="S1128" s="5">
        <f t="shared" si="379"/>
        <v>21500</v>
      </c>
      <c r="T1128" s="5">
        <f t="shared" si="380"/>
        <v>21500</v>
      </c>
      <c r="U1128" s="5">
        <f t="shared" si="381"/>
        <v>0</v>
      </c>
    </row>
    <row r="1129" spans="2:21">
      <c r="B1129" s="12">
        <v>1446</v>
      </c>
      <c r="C1129" t="s">
        <v>138</v>
      </c>
      <c r="G1129">
        <v>1996</v>
      </c>
      <c r="H1129">
        <v>2</v>
      </c>
      <c r="I1129">
        <v>0</v>
      </c>
      <c r="J1129" t="s">
        <v>30</v>
      </c>
      <c r="K1129" s="45">
        <v>7</v>
      </c>
      <c r="L1129">
        <f t="shared" si="373"/>
        <v>2003</v>
      </c>
      <c r="M1129" s="15">
        <f t="shared" si="374"/>
        <v>2003.1666666666667</v>
      </c>
      <c r="N1129" s="5">
        <v>67977</v>
      </c>
      <c r="O1129" s="5">
        <f t="shared" si="375"/>
        <v>67977</v>
      </c>
      <c r="P1129" s="5">
        <f t="shared" si="376"/>
        <v>809.25</v>
      </c>
      <c r="Q1129" s="5">
        <f t="shared" si="377"/>
        <v>9711</v>
      </c>
      <c r="R1129" s="5">
        <f t="shared" si="378"/>
        <v>0</v>
      </c>
      <c r="S1129" s="5">
        <f t="shared" si="379"/>
        <v>67977</v>
      </c>
      <c r="T1129" s="5">
        <f t="shared" si="380"/>
        <v>67977</v>
      </c>
      <c r="U1129" s="5">
        <f t="shared" si="381"/>
        <v>0</v>
      </c>
    </row>
    <row r="1130" spans="2:21">
      <c r="B1130" s="12">
        <v>482</v>
      </c>
      <c r="C1130" t="s">
        <v>289</v>
      </c>
      <c r="G1130">
        <v>1996</v>
      </c>
      <c r="H1130">
        <v>4</v>
      </c>
      <c r="I1130">
        <v>0</v>
      </c>
      <c r="J1130" t="s">
        <v>30</v>
      </c>
      <c r="K1130" s="45">
        <v>7</v>
      </c>
      <c r="L1130">
        <f t="shared" si="373"/>
        <v>2003</v>
      </c>
      <c r="M1130" s="15">
        <f t="shared" si="374"/>
        <v>2003.3333333333333</v>
      </c>
      <c r="N1130" s="5">
        <v>22659</v>
      </c>
      <c r="O1130" s="5">
        <f t="shared" si="375"/>
        <v>22659</v>
      </c>
      <c r="P1130" s="5">
        <f t="shared" si="376"/>
        <v>269.75</v>
      </c>
      <c r="Q1130" s="5">
        <f t="shared" si="377"/>
        <v>3237</v>
      </c>
      <c r="R1130" s="5">
        <f t="shared" si="378"/>
        <v>0</v>
      </c>
      <c r="S1130" s="5">
        <f t="shared" si="379"/>
        <v>22659</v>
      </c>
      <c r="T1130" s="5">
        <f t="shared" si="380"/>
        <v>22659</v>
      </c>
      <c r="U1130" s="5">
        <f t="shared" si="381"/>
        <v>0</v>
      </c>
    </row>
    <row r="1131" spans="2:21">
      <c r="B1131" s="12">
        <v>964</v>
      </c>
      <c r="C1131" t="s">
        <v>289</v>
      </c>
      <c r="G1131">
        <v>1996</v>
      </c>
      <c r="H1131">
        <v>5</v>
      </c>
      <c r="I1131">
        <v>0</v>
      </c>
      <c r="J1131" t="s">
        <v>30</v>
      </c>
      <c r="K1131" s="45">
        <v>7</v>
      </c>
      <c r="L1131">
        <f t="shared" si="373"/>
        <v>2003</v>
      </c>
      <c r="M1131" s="15">
        <f t="shared" si="374"/>
        <v>2003.4166666666667</v>
      </c>
      <c r="N1131" s="5">
        <v>45318</v>
      </c>
      <c r="O1131" s="5">
        <f t="shared" si="375"/>
        <v>45318</v>
      </c>
      <c r="P1131" s="5">
        <f t="shared" si="376"/>
        <v>539.5</v>
      </c>
      <c r="Q1131" s="5">
        <f t="shared" si="377"/>
        <v>6474</v>
      </c>
      <c r="R1131" s="5">
        <f t="shared" si="378"/>
        <v>0</v>
      </c>
      <c r="S1131" s="5">
        <f t="shared" si="379"/>
        <v>45318</v>
      </c>
      <c r="T1131" s="5">
        <f t="shared" si="380"/>
        <v>45318</v>
      </c>
      <c r="U1131" s="5">
        <f t="shared" si="381"/>
        <v>0</v>
      </c>
    </row>
    <row r="1132" spans="2:21">
      <c r="B1132" s="12">
        <v>486</v>
      </c>
      <c r="C1132" t="s">
        <v>289</v>
      </c>
      <c r="G1132">
        <v>1996</v>
      </c>
      <c r="H1132">
        <v>5</v>
      </c>
      <c r="I1132">
        <v>0</v>
      </c>
      <c r="J1132" t="s">
        <v>30</v>
      </c>
      <c r="K1132" s="45">
        <v>7</v>
      </c>
      <c r="L1132">
        <f t="shared" si="373"/>
        <v>2003</v>
      </c>
      <c r="M1132" s="15">
        <f t="shared" si="374"/>
        <v>2003.4166666666667</v>
      </c>
      <c r="N1132" s="5">
        <v>22840</v>
      </c>
      <c r="O1132" s="5">
        <f t="shared" si="375"/>
        <v>22840</v>
      </c>
      <c r="P1132" s="5">
        <f t="shared" si="376"/>
        <v>271.90476190476187</v>
      </c>
      <c r="Q1132" s="5">
        <f t="shared" si="377"/>
        <v>3262.8571428571422</v>
      </c>
      <c r="R1132" s="5">
        <f t="shared" si="378"/>
        <v>0</v>
      </c>
      <c r="S1132" s="5">
        <f t="shared" si="379"/>
        <v>22840</v>
      </c>
      <c r="T1132" s="5">
        <f t="shared" si="380"/>
        <v>22840</v>
      </c>
      <c r="U1132" s="5">
        <f t="shared" si="381"/>
        <v>0</v>
      </c>
    </row>
    <row r="1133" spans="2:21">
      <c r="B1133" s="12">
        <v>478</v>
      </c>
      <c r="C1133" t="s">
        <v>289</v>
      </c>
      <c r="G1133">
        <v>1996</v>
      </c>
      <c r="H1133">
        <v>5</v>
      </c>
      <c r="I1133">
        <v>0</v>
      </c>
      <c r="J1133" t="s">
        <v>30</v>
      </c>
      <c r="K1133" s="45">
        <v>7</v>
      </c>
      <c r="L1133">
        <f t="shared" si="373"/>
        <v>2003</v>
      </c>
      <c r="M1133" s="15">
        <f t="shared" si="374"/>
        <v>2003.4166666666667</v>
      </c>
      <c r="N1133" s="5">
        <v>22478</v>
      </c>
      <c r="O1133" s="5">
        <f t="shared" si="375"/>
        <v>22478</v>
      </c>
      <c r="P1133" s="5">
        <f t="shared" si="376"/>
        <v>267.59523809523813</v>
      </c>
      <c r="Q1133" s="5">
        <f t="shared" si="377"/>
        <v>3211.1428571428578</v>
      </c>
      <c r="R1133" s="5">
        <f t="shared" si="378"/>
        <v>0</v>
      </c>
      <c r="S1133" s="5">
        <f t="shared" si="379"/>
        <v>22478</v>
      </c>
      <c r="T1133" s="5">
        <f t="shared" si="380"/>
        <v>22478</v>
      </c>
      <c r="U1133" s="5">
        <f t="shared" si="381"/>
        <v>0</v>
      </c>
    </row>
    <row r="1134" spans="2:21">
      <c r="B1134" s="12">
        <v>260</v>
      </c>
      <c r="C1134" t="s">
        <v>289</v>
      </c>
      <c r="G1134">
        <v>1996</v>
      </c>
      <c r="H1134">
        <v>8</v>
      </c>
      <c r="I1134">
        <v>0</v>
      </c>
      <c r="J1134" t="s">
        <v>30</v>
      </c>
      <c r="K1134" s="45">
        <v>7</v>
      </c>
      <c r="L1134">
        <f t="shared" si="373"/>
        <v>2003</v>
      </c>
      <c r="M1134" s="15">
        <f t="shared" si="374"/>
        <v>2003.6666666666667</v>
      </c>
      <c r="N1134" s="5">
        <v>11794</v>
      </c>
      <c r="O1134" s="5">
        <f t="shared" si="375"/>
        <v>11794</v>
      </c>
      <c r="P1134" s="5">
        <f t="shared" si="376"/>
        <v>140.4047619047619</v>
      </c>
      <c r="Q1134" s="5">
        <f t="shared" si="377"/>
        <v>1684.8571428571427</v>
      </c>
      <c r="R1134" s="5">
        <f t="shared" si="378"/>
        <v>0</v>
      </c>
      <c r="S1134" s="5">
        <f t="shared" si="379"/>
        <v>11794</v>
      </c>
      <c r="T1134" s="5">
        <f t="shared" si="380"/>
        <v>11794</v>
      </c>
      <c r="U1134" s="5">
        <f t="shared" si="381"/>
        <v>0</v>
      </c>
    </row>
    <row r="1135" spans="2:21">
      <c r="B1135" s="12">
        <v>1587</v>
      </c>
      <c r="C1135" t="s">
        <v>141</v>
      </c>
      <c r="G1135">
        <v>1996</v>
      </c>
      <c r="H1135">
        <v>8</v>
      </c>
      <c r="I1135">
        <v>0</v>
      </c>
      <c r="J1135" t="s">
        <v>30</v>
      </c>
      <c r="K1135" s="45">
        <v>7</v>
      </c>
      <c r="L1135">
        <f t="shared" si="373"/>
        <v>2003</v>
      </c>
      <c r="M1135" s="15">
        <f t="shared" si="374"/>
        <v>2003.6666666666667</v>
      </c>
      <c r="N1135" s="5">
        <v>35993</v>
      </c>
      <c r="O1135" s="5">
        <f t="shared" si="375"/>
        <v>35993</v>
      </c>
      <c r="P1135" s="5">
        <f t="shared" si="376"/>
        <v>428.48809523809524</v>
      </c>
      <c r="Q1135" s="5">
        <f t="shared" si="377"/>
        <v>5141.8571428571431</v>
      </c>
      <c r="R1135" s="5">
        <f t="shared" si="378"/>
        <v>0</v>
      </c>
      <c r="S1135" s="5">
        <f t="shared" si="379"/>
        <v>35993</v>
      </c>
      <c r="T1135" s="5">
        <f t="shared" si="380"/>
        <v>35993</v>
      </c>
      <c r="U1135" s="5">
        <f t="shared" si="381"/>
        <v>0</v>
      </c>
    </row>
    <row r="1136" spans="2:21">
      <c r="B1136" s="12">
        <v>766</v>
      </c>
      <c r="C1136" t="s">
        <v>142</v>
      </c>
      <c r="G1136">
        <v>1996</v>
      </c>
      <c r="H1136">
        <v>8</v>
      </c>
      <c r="I1136">
        <v>0</v>
      </c>
      <c r="J1136" t="s">
        <v>30</v>
      </c>
      <c r="K1136" s="45">
        <v>7</v>
      </c>
      <c r="L1136">
        <f t="shared" si="373"/>
        <v>2003</v>
      </c>
      <c r="M1136" s="15">
        <f t="shared" si="374"/>
        <v>2003.6666666666667</v>
      </c>
      <c r="N1136" s="5">
        <v>35993</v>
      </c>
      <c r="O1136" s="5">
        <f t="shared" si="375"/>
        <v>35993</v>
      </c>
      <c r="P1136" s="5">
        <f t="shared" si="376"/>
        <v>428.48809523809524</v>
      </c>
      <c r="Q1136" s="5">
        <f t="shared" si="377"/>
        <v>5141.8571428571431</v>
      </c>
      <c r="R1136" s="5">
        <f t="shared" si="378"/>
        <v>0</v>
      </c>
      <c r="S1136" s="5">
        <f t="shared" si="379"/>
        <v>35993</v>
      </c>
      <c r="T1136" s="5">
        <f t="shared" si="380"/>
        <v>35993</v>
      </c>
      <c r="U1136" s="5">
        <f t="shared" si="381"/>
        <v>0</v>
      </c>
    </row>
    <row r="1137" spans="2:21">
      <c r="B1137" s="12">
        <v>954</v>
      </c>
      <c r="C1137" t="s">
        <v>289</v>
      </c>
      <c r="G1137">
        <v>1997</v>
      </c>
      <c r="H1137">
        <v>2</v>
      </c>
      <c r="I1137">
        <v>0</v>
      </c>
      <c r="J1137" t="s">
        <v>30</v>
      </c>
      <c r="K1137" s="45">
        <v>7</v>
      </c>
      <c r="L1137">
        <f t="shared" si="373"/>
        <v>2004</v>
      </c>
      <c r="M1137" s="15">
        <f t="shared" si="374"/>
        <v>2004.1666666666667</v>
      </c>
      <c r="N1137" s="5">
        <v>44688</v>
      </c>
      <c r="O1137" s="5">
        <f t="shared" si="375"/>
        <v>44688</v>
      </c>
      <c r="P1137" s="5">
        <f t="shared" si="376"/>
        <v>532</v>
      </c>
      <c r="Q1137" s="5">
        <f t="shared" si="377"/>
        <v>6384</v>
      </c>
      <c r="R1137" s="5">
        <f t="shared" si="378"/>
        <v>0</v>
      </c>
      <c r="S1137" s="5">
        <f t="shared" si="379"/>
        <v>44688</v>
      </c>
      <c r="T1137" s="5">
        <f t="shared" si="380"/>
        <v>44688</v>
      </c>
      <c r="U1137" s="5">
        <f t="shared" si="381"/>
        <v>0</v>
      </c>
    </row>
    <row r="1138" spans="2:21">
      <c r="B1138" s="12">
        <v>560</v>
      </c>
      <c r="C1138" t="s">
        <v>289</v>
      </c>
      <c r="G1138">
        <v>1997</v>
      </c>
      <c r="H1138">
        <v>3</v>
      </c>
      <c r="I1138">
        <v>0</v>
      </c>
      <c r="J1138" t="s">
        <v>30</v>
      </c>
      <c r="K1138" s="45">
        <v>7</v>
      </c>
      <c r="L1138">
        <f t="shared" si="373"/>
        <v>2004</v>
      </c>
      <c r="M1138" s="15">
        <f t="shared" si="374"/>
        <v>2004.25</v>
      </c>
      <c r="N1138" s="5">
        <v>25402</v>
      </c>
      <c r="O1138" s="5">
        <f t="shared" si="375"/>
        <v>25402</v>
      </c>
      <c r="P1138" s="5">
        <f t="shared" si="376"/>
        <v>302.40476190476187</v>
      </c>
      <c r="Q1138" s="5">
        <f t="shared" si="377"/>
        <v>3628.8571428571422</v>
      </c>
      <c r="R1138" s="5">
        <f t="shared" si="378"/>
        <v>0</v>
      </c>
      <c r="S1138" s="5">
        <f t="shared" si="379"/>
        <v>25402</v>
      </c>
      <c r="T1138" s="5">
        <f t="shared" si="380"/>
        <v>25402</v>
      </c>
      <c r="U1138" s="5">
        <f t="shared" si="381"/>
        <v>0</v>
      </c>
    </row>
    <row r="1139" spans="2:21">
      <c r="B1139" s="12">
        <v>560</v>
      </c>
      <c r="C1139" t="s">
        <v>289</v>
      </c>
      <c r="G1139">
        <v>1997</v>
      </c>
      <c r="H1139">
        <v>3</v>
      </c>
      <c r="I1139">
        <v>0</v>
      </c>
      <c r="J1139" t="s">
        <v>30</v>
      </c>
      <c r="K1139" s="45">
        <v>7</v>
      </c>
      <c r="L1139">
        <f t="shared" si="373"/>
        <v>2004</v>
      </c>
      <c r="M1139" s="15">
        <f t="shared" si="374"/>
        <v>2004.25</v>
      </c>
      <c r="N1139" s="5">
        <v>25402</v>
      </c>
      <c r="O1139" s="5">
        <f t="shared" si="375"/>
        <v>25402</v>
      </c>
      <c r="P1139" s="5">
        <f t="shared" si="376"/>
        <v>302.40476190476187</v>
      </c>
      <c r="Q1139" s="5">
        <f t="shared" si="377"/>
        <v>3628.8571428571422</v>
      </c>
      <c r="R1139" s="5">
        <f t="shared" si="378"/>
        <v>0</v>
      </c>
      <c r="S1139" s="5">
        <f t="shared" si="379"/>
        <v>25402</v>
      </c>
      <c r="T1139" s="5">
        <f t="shared" si="380"/>
        <v>25402</v>
      </c>
      <c r="U1139" s="5">
        <f t="shared" si="381"/>
        <v>0</v>
      </c>
    </row>
    <row r="1140" spans="2:21">
      <c r="B1140" s="12">
        <v>580</v>
      </c>
      <c r="C1140" t="s">
        <v>290</v>
      </c>
      <c r="G1140">
        <v>1998</v>
      </c>
      <c r="H1140">
        <v>4</v>
      </c>
      <c r="I1140">
        <v>0</v>
      </c>
      <c r="J1140" t="s">
        <v>30</v>
      </c>
      <c r="K1140" s="45">
        <v>7</v>
      </c>
      <c r="L1140">
        <f t="shared" si="373"/>
        <v>2005</v>
      </c>
      <c r="M1140" s="15">
        <f t="shared" si="374"/>
        <v>2005.3333333333333</v>
      </c>
      <c r="N1140" s="5">
        <v>48636</v>
      </c>
      <c r="O1140" s="5">
        <f t="shared" si="375"/>
        <v>48636</v>
      </c>
      <c r="P1140" s="5">
        <f t="shared" si="376"/>
        <v>579</v>
      </c>
      <c r="Q1140" s="5">
        <f t="shared" si="377"/>
        <v>6948</v>
      </c>
      <c r="R1140" s="5">
        <f t="shared" si="378"/>
        <v>0</v>
      </c>
      <c r="S1140" s="5">
        <f t="shared" si="379"/>
        <v>48636</v>
      </c>
      <c r="T1140" s="5">
        <f t="shared" si="380"/>
        <v>48636</v>
      </c>
      <c r="U1140" s="5">
        <f t="shared" si="381"/>
        <v>0</v>
      </c>
    </row>
    <row r="1141" spans="2:21">
      <c r="B1141" s="12">
        <v>280</v>
      </c>
      <c r="C1141" t="s">
        <v>356</v>
      </c>
      <c r="G1141">
        <v>1999</v>
      </c>
      <c r="H1141">
        <v>1</v>
      </c>
      <c r="I1141">
        <v>0</v>
      </c>
      <c r="J1141" t="s">
        <v>30</v>
      </c>
      <c r="K1141" s="45">
        <v>7</v>
      </c>
      <c r="L1141">
        <f t="shared" si="373"/>
        <v>2006</v>
      </c>
      <c r="M1141" s="15">
        <f t="shared" si="374"/>
        <v>2006.0833333333333</v>
      </c>
      <c r="N1141" s="5">
        <v>13142.22</v>
      </c>
      <c r="O1141" s="5">
        <f t="shared" si="375"/>
        <v>13142.22</v>
      </c>
      <c r="P1141" s="5">
        <f t="shared" si="376"/>
        <v>156.45499999999998</v>
      </c>
      <c r="Q1141" s="5">
        <f t="shared" si="377"/>
        <v>1877.4599999999998</v>
      </c>
      <c r="R1141" s="5">
        <f t="shared" si="378"/>
        <v>0</v>
      </c>
      <c r="S1141" s="5">
        <f t="shared" si="379"/>
        <v>13142.22</v>
      </c>
      <c r="T1141" s="5">
        <f t="shared" si="380"/>
        <v>13142.22</v>
      </c>
      <c r="U1141" s="5">
        <f t="shared" si="381"/>
        <v>0</v>
      </c>
    </row>
    <row r="1142" spans="2:21">
      <c r="B1142" s="12">
        <v>534</v>
      </c>
      <c r="C1142" t="s">
        <v>286</v>
      </c>
      <c r="G1142">
        <v>1999</v>
      </c>
      <c r="H1142">
        <v>3</v>
      </c>
      <c r="I1142">
        <v>0</v>
      </c>
      <c r="J1142" t="s">
        <v>30</v>
      </c>
      <c r="K1142" s="45">
        <v>7</v>
      </c>
      <c r="L1142">
        <f t="shared" si="373"/>
        <v>2006</v>
      </c>
      <c r="M1142" s="15">
        <f t="shared" si="374"/>
        <v>2006.25</v>
      </c>
      <c r="N1142" s="5">
        <v>24663.17</v>
      </c>
      <c r="O1142" s="5">
        <f t="shared" si="375"/>
        <v>24663.17</v>
      </c>
      <c r="P1142" s="5">
        <f t="shared" si="376"/>
        <v>293.60916666666668</v>
      </c>
      <c r="Q1142" s="5">
        <f t="shared" si="377"/>
        <v>3523.3100000000004</v>
      </c>
      <c r="R1142" s="5">
        <f t="shared" si="378"/>
        <v>0</v>
      </c>
      <c r="S1142" s="5">
        <f t="shared" si="379"/>
        <v>24663.17</v>
      </c>
      <c r="T1142" s="5">
        <f t="shared" si="380"/>
        <v>24663.17</v>
      </c>
      <c r="U1142" s="5">
        <f t="shared" si="381"/>
        <v>0</v>
      </c>
    </row>
    <row r="1143" spans="2:21">
      <c r="B1143" s="12">
        <v>534</v>
      </c>
      <c r="C1143" t="s">
        <v>137</v>
      </c>
      <c r="G1143">
        <v>1999</v>
      </c>
      <c r="H1143">
        <v>3</v>
      </c>
      <c r="I1143">
        <v>0</v>
      </c>
      <c r="J1143" t="s">
        <v>30</v>
      </c>
      <c r="K1143" s="45">
        <v>7</v>
      </c>
      <c r="L1143">
        <f t="shared" si="373"/>
        <v>2006</v>
      </c>
      <c r="M1143" s="15">
        <f t="shared" si="374"/>
        <v>2006.25</v>
      </c>
      <c r="N1143" s="5">
        <v>24663.17</v>
      </c>
      <c r="O1143" s="5">
        <f t="shared" si="375"/>
        <v>24663.17</v>
      </c>
      <c r="P1143" s="5">
        <f t="shared" si="376"/>
        <v>293.60916666666668</v>
      </c>
      <c r="Q1143" s="5">
        <f t="shared" si="377"/>
        <v>3523.3100000000004</v>
      </c>
      <c r="R1143" s="5">
        <f t="shared" si="378"/>
        <v>0</v>
      </c>
      <c r="S1143" s="5">
        <f t="shared" si="379"/>
        <v>24663.17</v>
      </c>
      <c r="T1143" s="5">
        <f t="shared" si="380"/>
        <v>24663.17</v>
      </c>
      <c r="U1143" s="5">
        <f t="shared" si="381"/>
        <v>0</v>
      </c>
    </row>
    <row r="1144" spans="2:21">
      <c r="B1144" s="12">
        <v>380</v>
      </c>
      <c r="C1144" t="s">
        <v>137</v>
      </c>
      <c r="G1144">
        <v>1999</v>
      </c>
      <c r="H1144">
        <v>3</v>
      </c>
      <c r="I1144">
        <v>0</v>
      </c>
      <c r="J1144" t="s">
        <v>30</v>
      </c>
      <c r="K1144" s="45">
        <v>7</v>
      </c>
      <c r="L1144">
        <f t="shared" si="373"/>
        <v>2006</v>
      </c>
      <c r="M1144" s="15">
        <f t="shared" si="374"/>
        <v>2006.25</v>
      </c>
      <c r="N1144" s="5">
        <v>16784.66</v>
      </c>
      <c r="O1144" s="5">
        <f t="shared" si="375"/>
        <v>16784.66</v>
      </c>
      <c r="P1144" s="5">
        <f t="shared" si="376"/>
        <v>199.81738095238094</v>
      </c>
      <c r="Q1144" s="5">
        <f t="shared" si="377"/>
        <v>2397.8085714285712</v>
      </c>
      <c r="R1144" s="5">
        <f t="shared" si="378"/>
        <v>0</v>
      </c>
      <c r="S1144" s="5">
        <f t="shared" si="379"/>
        <v>16784.66</v>
      </c>
      <c r="T1144" s="5">
        <f t="shared" si="380"/>
        <v>16784.66</v>
      </c>
      <c r="U1144" s="5">
        <f t="shared" si="381"/>
        <v>0</v>
      </c>
    </row>
    <row r="1145" spans="2:21">
      <c r="B1145" s="12">
        <v>1068</v>
      </c>
      <c r="C1145" t="s">
        <v>137</v>
      </c>
      <c r="G1145">
        <v>1999</v>
      </c>
      <c r="H1145">
        <v>4</v>
      </c>
      <c r="I1145">
        <v>0</v>
      </c>
      <c r="J1145" t="s">
        <v>30</v>
      </c>
      <c r="K1145" s="45">
        <v>7</v>
      </c>
      <c r="L1145">
        <f t="shared" si="373"/>
        <v>2006</v>
      </c>
      <c r="M1145" s="15">
        <f t="shared" si="374"/>
        <v>2006.3333333333333</v>
      </c>
      <c r="N1145" s="5">
        <v>49326.34</v>
      </c>
      <c r="O1145" s="5">
        <f t="shared" si="375"/>
        <v>49326.34</v>
      </c>
      <c r="P1145" s="5">
        <f t="shared" si="376"/>
        <v>587.21833333333336</v>
      </c>
      <c r="Q1145" s="5">
        <f t="shared" si="377"/>
        <v>7046.6200000000008</v>
      </c>
      <c r="R1145" s="5">
        <f t="shared" si="378"/>
        <v>0</v>
      </c>
      <c r="S1145" s="5">
        <f t="shared" si="379"/>
        <v>49326.34</v>
      </c>
      <c r="T1145" s="5">
        <f t="shared" si="380"/>
        <v>49326.34</v>
      </c>
      <c r="U1145" s="5">
        <f t="shared" si="381"/>
        <v>0</v>
      </c>
    </row>
    <row r="1146" spans="2:21">
      <c r="B1146" s="12">
        <v>534</v>
      </c>
      <c r="C1146" t="s">
        <v>137</v>
      </c>
      <c r="G1146">
        <v>1999</v>
      </c>
      <c r="H1146">
        <v>5</v>
      </c>
      <c r="I1146">
        <v>0</v>
      </c>
      <c r="J1146" t="s">
        <v>30</v>
      </c>
      <c r="K1146" s="45">
        <v>7</v>
      </c>
      <c r="L1146">
        <f t="shared" si="373"/>
        <v>2006</v>
      </c>
      <c r="M1146" s="15">
        <f t="shared" si="374"/>
        <v>2006.4166666666667</v>
      </c>
      <c r="N1146" s="5">
        <v>24663.17</v>
      </c>
      <c r="O1146" s="5">
        <f t="shared" si="375"/>
        <v>24663.17</v>
      </c>
      <c r="P1146" s="5">
        <f t="shared" si="376"/>
        <v>293.60916666666668</v>
      </c>
      <c r="Q1146" s="5">
        <f t="shared" si="377"/>
        <v>3523.3100000000004</v>
      </c>
      <c r="R1146" s="5">
        <f t="shared" si="378"/>
        <v>0</v>
      </c>
      <c r="S1146" s="5">
        <f t="shared" si="379"/>
        <v>24663.17</v>
      </c>
      <c r="T1146" s="5">
        <f t="shared" si="380"/>
        <v>24663.17</v>
      </c>
      <c r="U1146" s="5">
        <f t="shared" si="381"/>
        <v>0</v>
      </c>
    </row>
    <row r="1147" spans="2:21">
      <c r="B1147" s="12">
        <v>534</v>
      </c>
      <c r="C1147" t="s">
        <v>137</v>
      </c>
      <c r="G1147">
        <v>1999</v>
      </c>
      <c r="H1147">
        <v>5</v>
      </c>
      <c r="I1147">
        <v>0</v>
      </c>
      <c r="J1147" t="s">
        <v>30</v>
      </c>
      <c r="K1147" s="45">
        <v>7</v>
      </c>
      <c r="L1147">
        <f t="shared" si="373"/>
        <v>2006</v>
      </c>
      <c r="M1147" s="15">
        <f t="shared" si="374"/>
        <v>2006.4166666666667</v>
      </c>
      <c r="N1147" s="5">
        <v>24663.17</v>
      </c>
      <c r="O1147" s="5">
        <f t="shared" si="375"/>
        <v>24663.17</v>
      </c>
      <c r="P1147" s="5">
        <f t="shared" si="376"/>
        <v>293.60916666666668</v>
      </c>
      <c r="Q1147" s="5">
        <f t="shared" si="377"/>
        <v>3523.3100000000004</v>
      </c>
      <c r="R1147" s="5">
        <f t="shared" si="378"/>
        <v>0</v>
      </c>
      <c r="S1147" s="5">
        <f t="shared" si="379"/>
        <v>24663.17</v>
      </c>
      <c r="T1147" s="5">
        <f t="shared" si="380"/>
        <v>24663.17</v>
      </c>
      <c r="U1147" s="5">
        <f t="shared" si="381"/>
        <v>0</v>
      </c>
    </row>
    <row r="1148" spans="2:21">
      <c r="B1148" s="12">
        <v>534</v>
      </c>
      <c r="C1148" t="s">
        <v>137</v>
      </c>
      <c r="G1148">
        <v>1999</v>
      </c>
      <c r="H1148">
        <v>6</v>
      </c>
      <c r="I1148">
        <v>0</v>
      </c>
      <c r="J1148" t="s">
        <v>30</v>
      </c>
      <c r="K1148" s="45">
        <v>7</v>
      </c>
      <c r="L1148">
        <f t="shared" si="373"/>
        <v>2006</v>
      </c>
      <c r="M1148" s="15">
        <f t="shared" si="374"/>
        <v>2006.5</v>
      </c>
      <c r="N1148" s="5">
        <v>24663.17</v>
      </c>
      <c r="O1148" s="5">
        <f t="shared" si="375"/>
        <v>24663.17</v>
      </c>
      <c r="P1148" s="5">
        <f t="shared" si="376"/>
        <v>293.60916666666668</v>
      </c>
      <c r="Q1148" s="5">
        <f t="shared" si="377"/>
        <v>3523.3100000000004</v>
      </c>
      <c r="R1148" s="5">
        <f t="shared" si="378"/>
        <v>0</v>
      </c>
      <c r="S1148" s="5">
        <f t="shared" si="379"/>
        <v>24663.17</v>
      </c>
      <c r="T1148" s="5">
        <f t="shared" si="380"/>
        <v>24663.17</v>
      </c>
      <c r="U1148" s="5">
        <f t="shared" si="381"/>
        <v>0</v>
      </c>
    </row>
    <row r="1149" spans="2:21">
      <c r="B1149" s="12">
        <v>480</v>
      </c>
      <c r="C1149" t="s">
        <v>135</v>
      </c>
      <c r="G1149">
        <v>1999</v>
      </c>
      <c r="H1149">
        <v>6</v>
      </c>
      <c r="I1149">
        <v>0</v>
      </c>
      <c r="J1149" t="s">
        <v>30</v>
      </c>
      <c r="K1149" s="45">
        <v>7</v>
      </c>
      <c r="L1149">
        <f t="shared" si="373"/>
        <v>2006</v>
      </c>
      <c r="M1149" s="15">
        <f t="shared" si="374"/>
        <v>2006.5</v>
      </c>
      <c r="N1149" s="5">
        <v>21922.82</v>
      </c>
      <c r="O1149" s="5">
        <f t="shared" si="375"/>
        <v>21922.82</v>
      </c>
      <c r="P1149" s="5">
        <f t="shared" si="376"/>
        <v>260.98595238095237</v>
      </c>
      <c r="Q1149" s="5">
        <f t="shared" si="377"/>
        <v>3131.8314285714287</v>
      </c>
      <c r="R1149" s="5">
        <f t="shared" si="378"/>
        <v>0</v>
      </c>
      <c r="S1149" s="5">
        <f t="shared" si="379"/>
        <v>21922.82</v>
      </c>
      <c r="T1149" s="5">
        <f t="shared" si="380"/>
        <v>21922.82</v>
      </c>
      <c r="U1149" s="5">
        <f t="shared" si="381"/>
        <v>0</v>
      </c>
    </row>
    <row r="1150" spans="2:21">
      <c r="B1150" s="12">
        <v>534</v>
      </c>
      <c r="C1150" t="s">
        <v>135</v>
      </c>
      <c r="G1150">
        <v>1999</v>
      </c>
      <c r="H1150">
        <v>7</v>
      </c>
      <c r="I1150">
        <v>0</v>
      </c>
      <c r="J1150" t="s">
        <v>30</v>
      </c>
      <c r="K1150" s="45">
        <v>7</v>
      </c>
      <c r="L1150">
        <f t="shared" si="373"/>
        <v>2006</v>
      </c>
      <c r="M1150" s="15">
        <f t="shared" si="374"/>
        <v>2006.5833333333333</v>
      </c>
      <c r="N1150" s="5">
        <v>24663.17</v>
      </c>
      <c r="O1150" s="5">
        <f t="shared" si="375"/>
        <v>24663.17</v>
      </c>
      <c r="P1150" s="5">
        <f t="shared" si="376"/>
        <v>293.60916666666668</v>
      </c>
      <c r="Q1150" s="5">
        <f t="shared" si="377"/>
        <v>3523.3100000000004</v>
      </c>
      <c r="R1150" s="5">
        <f t="shared" si="378"/>
        <v>0</v>
      </c>
      <c r="S1150" s="5">
        <f t="shared" si="379"/>
        <v>24663.17</v>
      </c>
      <c r="T1150" s="5">
        <f t="shared" si="380"/>
        <v>24663.17</v>
      </c>
      <c r="U1150" s="5">
        <f t="shared" si="381"/>
        <v>0</v>
      </c>
    </row>
    <row r="1151" spans="2:21">
      <c r="B1151" s="12">
        <v>534</v>
      </c>
      <c r="C1151" t="s">
        <v>137</v>
      </c>
      <c r="G1151">
        <v>1999</v>
      </c>
      <c r="H1151">
        <v>8</v>
      </c>
      <c r="I1151">
        <v>0</v>
      </c>
      <c r="J1151" t="s">
        <v>30</v>
      </c>
      <c r="K1151" s="45">
        <v>7</v>
      </c>
      <c r="L1151">
        <f t="shared" si="373"/>
        <v>2006</v>
      </c>
      <c r="M1151" s="15">
        <f t="shared" si="374"/>
        <v>2006.6666666666667</v>
      </c>
      <c r="N1151" s="5">
        <v>24663.17</v>
      </c>
      <c r="O1151" s="5">
        <f t="shared" si="375"/>
        <v>24663.17</v>
      </c>
      <c r="P1151" s="5">
        <f t="shared" si="376"/>
        <v>293.60916666666668</v>
      </c>
      <c r="Q1151" s="5">
        <f t="shared" si="377"/>
        <v>3523.3100000000004</v>
      </c>
      <c r="R1151" s="5">
        <f t="shared" si="378"/>
        <v>0</v>
      </c>
      <c r="S1151" s="5">
        <f t="shared" si="379"/>
        <v>24663.17</v>
      </c>
      <c r="T1151" s="5">
        <f t="shared" si="380"/>
        <v>24663.17</v>
      </c>
      <c r="U1151" s="5">
        <f t="shared" si="381"/>
        <v>0</v>
      </c>
    </row>
    <row r="1153" spans="2:21">
      <c r="B1153">
        <f>SUM(B1124:B1152)</f>
        <v>17286</v>
      </c>
      <c r="C1153" t="s">
        <v>1180</v>
      </c>
    </row>
    <row r="1154" spans="2:21" s="13" customFormat="1">
      <c r="K1154" s="45"/>
      <c r="M1154" s="14"/>
      <c r="N1154" s="5"/>
      <c r="O1154" s="5"/>
      <c r="P1154" s="5"/>
      <c r="Q1154" s="5"/>
      <c r="R1154" s="5"/>
      <c r="S1154" s="5"/>
      <c r="T1154" s="5"/>
      <c r="U1154" s="5"/>
    </row>
    <row r="1155" spans="2:21">
      <c r="B1155" s="12">
        <v>715</v>
      </c>
      <c r="C1155" t="s">
        <v>357</v>
      </c>
      <c r="G1155">
        <v>2007</v>
      </c>
      <c r="H1155">
        <v>10</v>
      </c>
      <c r="I1155">
        <v>0</v>
      </c>
      <c r="J1155" t="s">
        <v>30</v>
      </c>
      <c r="K1155" s="45">
        <v>7</v>
      </c>
      <c r="L1155">
        <f>G1155+K1155</f>
        <v>2014</v>
      </c>
      <c r="M1155" s="15">
        <f>+L1155+(H1155/12)</f>
        <v>2014.8333333333333</v>
      </c>
      <c r="N1155" s="5">
        <v>33604.300000000003</v>
      </c>
      <c r="O1155" s="5">
        <f>N1155-N1155*I1155</f>
        <v>33604.300000000003</v>
      </c>
      <c r="P1155" s="5">
        <f>O1155/K1155/12</f>
        <v>400.05119047619047</v>
      </c>
      <c r="Q1155" s="5">
        <f>P1155*12</f>
        <v>4800.6142857142859</v>
      </c>
      <c r="R1155" s="5">
        <f>+IF(M1155&lt;=$O$5,0,IF(L1155&gt;$O$4,Q1155,(P1155*H1155)))</f>
        <v>0</v>
      </c>
      <c r="S1155" s="5">
        <f>+IF(R1155=0,N1155,IF($O$3-G1155&lt;1,0,(($O$3-G1155)*Q1155)))</f>
        <v>33604.300000000003</v>
      </c>
      <c r="T1155" s="5">
        <f>+IF(R1155=0,S1155,S1155+R1155)</f>
        <v>33604.300000000003</v>
      </c>
      <c r="U1155" s="5">
        <f>+N1155-T1155</f>
        <v>0</v>
      </c>
    </row>
    <row r="1156" spans="2:21">
      <c r="B1156" s="12">
        <v>3403</v>
      </c>
      <c r="C1156" t="s">
        <v>285</v>
      </c>
      <c r="G1156">
        <v>2005</v>
      </c>
      <c r="H1156">
        <v>3</v>
      </c>
      <c r="I1156">
        <v>0</v>
      </c>
      <c r="J1156" t="s">
        <v>30</v>
      </c>
      <c r="K1156" s="45">
        <v>7</v>
      </c>
      <c r="L1156">
        <f>G1156+K1156</f>
        <v>2012</v>
      </c>
      <c r="M1156" s="15">
        <f>+L1156+(H1156/12)</f>
        <v>2012.25</v>
      </c>
      <c r="N1156" s="5">
        <v>159935.70000000001</v>
      </c>
      <c r="O1156" s="5">
        <f>N1156-N1156*I1156</f>
        <v>159935.70000000001</v>
      </c>
      <c r="P1156" s="5">
        <f>O1156/K1156/12</f>
        <v>1903.9964285714286</v>
      </c>
      <c r="Q1156" s="5">
        <f>P1156*12</f>
        <v>22847.957142857143</v>
      </c>
      <c r="R1156" s="5">
        <f>+IF(M1156&lt;=$O$5,0,IF(L1156&gt;$O$4,Q1156,(P1156*H1156)))</f>
        <v>0</v>
      </c>
      <c r="S1156" s="5">
        <f>+IF(R1156=0,N1156,IF($O$3-G1156&lt;1,0,(($O$3-G1156)*Q1156)))</f>
        <v>159935.70000000001</v>
      </c>
      <c r="T1156" s="5">
        <f>+IF(R1156=0,S1156,S1156+R1156)</f>
        <v>159935.70000000001</v>
      </c>
      <c r="U1156" s="5">
        <f>+N1156-T1156</f>
        <v>0</v>
      </c>
    </row>
    <row r="1157" spans="2:21">
      <c r="B1157" s="12">
        <v>567</v>
      </c>
      <c r="C1157" t="s">
        <v>140</v>
      </c>
      <c r="G1157">
        <v>2005</v>
      </c>
      <c r="H1157">
        <v>9</v>
      </c>
      <c r="I1157">
        <v>0</v>
      </c>
      <c r="J1157" t="s">
        <v>30</v>
      </c>
      <c r="K1157" s="45">
        <v>7</v>
      </c>
      <c r="L1157">
        <f>G1157+K1157</f>
        <v>2012</v>
      </c>
      <c r="M1157" s="15">
        <f>+L1157+(H1157/12)</f>
        <v>2012.75</v>
      </c>
      <c r="N1157" s="5">
        <v>26641.09</v>
      </c>
      <c r="O1157" s="5">
        <f>N1157-N1157*I1157</f>
        <v>26641.09</v>
      </c>
      <c r="P1157" s="5">
        <f>O1157/K1157/12</f>
        <v>317.15583333333331</v>
      </c>
      <c r="Q1157" s="5">
        <f>P1157*12</f>
        <v>3805.87</v>
      </c>
      <c r="R1157" s="5">
        <f>+IF(M1157&lt;=$O$5,0,IF(L1157&gt;$O$4,Q1157,(P1157*H1157)))</f>
        <v>0</v>
      </c>
      <c r="S1157" s="5">
        <f>+IF(R1157=0,N1157,IF($O$3-G1157&lt;1,0,(($O$3-G1157)*Q1157)))</f>
        <v>26641.09</v>
      </c>
      <c r="T1157" s="5">
        <f>+IF(R1157=0,S1157,S1157+R1157)</f>
        <v>26641.09</v>
      </c>
      <c r="U1157" s="5">
        <f>+N1157-T1157</f>
        <v>0</v>
      </c>
    </row>
    <row r="1158" spans="2:21" s="13" customFormat="1">
      <c r="K1158" s="45"/>
      <c r="M1158" s="14"/>
      <c r="N1158" s="5"/>
      <c r="O1158" s="5"/>
      <c r="P1158" s="5"/>
      <c r="Q1158" s="5"/>
      <c r="R1158" s="5"/>
      <c r="S1158" s="5"/>
      <c r="T1158" s="5"/>
      <c r="U1158" s="5"/>
    </row>
    <row r="1159" spans="2:21" s="13" customFormat="1">
      <c r="B1159" s="13">
        <f>SUM(B1155:B1158)</f>
        <v>4685</v>
      </c>
      <c r="C1159" s="13" t="s">
        <v>1186</v>
      </c>
      <c r="K1159" s="45"/>
      <c r="M1159" s="14"/>
      <c r="N1159" s="5"/>
      <c r="O1159" s="5"/>
      <c r="P1159" s="5"/>
      <c r="Q1159" s="5"/>
      <c r="R1159" s="5"/>
      <c r="S1159" s="5"/>
      <c r="T1159" s="5"/>
      <c r="U1159" s="5"/>
    </row>
    <row r="1160" spans="2:21" s="13" customFormat="1">
      <c r="K1160" s="45"/>
      <c r="M1160" s="14"/>
      <c r="N1160" s="5"/>
      <c r="O1160" s="5"/>
      <c r="P1160" s="5"/>
      <c r="Q1160" s="5"/>
      <c r="R1160" s="5"/>
      <c r="S1160" s="5"/>
      <c r="T1160" s="5"/>
      <c r="U1160" s="5"/>
    </row>
    <row r="1161" spans="2:21">
      <c r="B1161" s="12">
        <v>581</v>
      </c>
      <c r="C1161" t="s">
        <v>134</v>
      </c>
      <c r="G1161">
        <v>2005</v>
      </c>
      <c r="H1161">
        <v>5</v>
      </c>
      <c r="I1161">
        <v>0</v>
      </c>
      <c r="J1161" t="s">
        <v>30</v>
      </c>
      <c r="K1161" s="45">
        <v>7</v>
      </c>
      <c r="L1161">
        <f>G1161+K1161</f>
        <v>2012</v>
      </c>
      <c r="M1161" s="15">
        <f>+L1161+(H1161/12)</f>
        <v>2012.4166666666667</v>
      </c>
      <c r="N1161" s="5">
        <v>27315.599999999999</v>
      </c>
      <c r="O1161" s="5">
        <f>N1161-N1161*I1161</f>
        <v>27315.599999999999</v>
      </c>
      <c r="P1161" s="5">
        <f>O1161/K1161/12</f>
        <v>325.18571428571425</v>
      </c>
      <c r="Q1161" s="5">
        <f>P1161*12</f>
        <v>3902.2285714285708</v>
      </c>
      <c r="R1161" s="5">
        <f>+IF(M1161&lt;=$O$5,0,IF(L1161&gt;$O$4,Q1161,(P1161*H1161)))</f>
        <v>0</v>
      </c>
      <c r="S1161" s="5">
        <f>+IF(R1161=0,N1161,IF($O$3-G1161&lt;1,0,(($O$3-G1161)*Q1161)))</f>
        <v>27315.599999999999</v>
      </c>
      <c r="T1161" s="5">
        <f>+IF(R1161=0,S1161,S1161+R1161)</f>
        <v>27315.599999999999</v>
      </c>
      <c r="U1161" s="5">
        <f>+N1161-T1161</f>
        <v>0</v>
      </c>
    </row>
    <row r="1162" spans="2:21">
      <c r="B1162" s="12">
        <v>358</v>
      </c>
      <c r="C1162" t="s">
        <v>134</v>
      </c>
      <c r="G1162">
        <v>2006</v>
      </c>
      <c r="H1162">
        <v>1</v>
      </c>
      <c r="I1162">
        <v>0</v>
      </c>
      <c r="J1162" t="s">
        <v>30</v>
      </c>
      <c r="K1162" s="45">
        <v>7</v>
      </c>
      <c r="L1162">
        <f>G1162+K1162</f>
        <v>2013</v>
      </c>
      <c r="M1162" s="15">
        <f>+L1162+(H1162/12)</f>
        <v>2013.0833333333333</v>
      </c>
      <c r="N1162" s="5">
        <v>16840.53</v>
      </c>
      <c r="O1162" s="5">
        <f>N1162-N1162*I1162</f>
        <v>16840.53</v>
      </c>
      <c r="P1162" s="5">
        <f>O1162/K1162/12</f>
        <v>200.48249999999999</v>
      </c>
      <c r="Q1162" s="5">
        <f>P1162*12</f>
        <v>2405.79</v>
      </c>
      <c r="R1162" s="5">
        <f>+IF(M1162&lt;=$O$5,0,IF(L1162&gt;$O$4,Q1162,(P1162*H1162)))</f>
        <v>0</v>
      </c>
      <c r="S1162" s="5">
        <f>+IF(R1162=0,N1162,IF($O$3-G1162&lt;1,0,(($O$3-G1162)*Q1162)))</f>
        <v>16840.53</v>
      </c>
      <c r="T1162" s="5">
        <f>+IF(R1162=0,S1162,S1162+R1162)</f>
        <v>16840.53</v>
      </c>
      <c r="U1162" s="5">
        <f>+N1162-T1162</f>
        <v>0</v>
      </c>
    </row>
    <row r="1163" spans="2:21">
      <c r="B1163" s="12">
        <v>320</v>
      </c>
      <c r="C1163" t="s">
        <v>134</v>
      </c>
      <c r="G1163">
        <v>2006</v>
      </c>
      <c r="H1163">
        <v>7</v>
      </c>
      <c r="I1163">
        <v>0</v>
      </c>
      <c r="J1163" t="s">
        <v>30</v>
      </c>
      <c r="K1163" s="45">
        <v>7</v>
      </c>
      <c r="L1163">
        <f>G1163+K1163</f>
        <v>2013</v>
      </c>
      <c r="M1163" s="15">
        <f>+L1163+(H1163/12)</f>
        <v>2013.5833333333333</v>
      </c>
      <c r="N1163" s="5">
        <v>15049.72</v>
      </c>
      <c r="O1163" s="5">
        <f>N1163-N1163*I1163</f>
        <v>15049.72</v>
      </c>
      <c r="P1163" s="5">
        <f>O1163/K1163/12</f>
        <v>179.16333333333333</v>
      </c>
      <c r="Q1163" s="5">
        <f>P1163*12</f>
        <v>2149.96</v>
      </c>
      <c r="R1163" s="5">
        <f>+IF(M1163&lt;=$O$5,0,IF(L1163&gt;$O$4,Q1163,(P1163*H1163)))</f>
        <v>0</v>
      </c>
      <c r="S1163" s="5">
        <f>+IF(R1163=0,N1163,IF($O$3-G1163&lt;1,0,(($O$3-G1163)*Q1163)))</f>
        <v>15049.72</v>
      </c>
      <c r="T1163" s="5">
        <f>+IF(R1163=0,S1163,S1163+R1163)</f>
        <v>15049.72</v>
      </c>
      <c r="U1163" s="5">
        <f>+N1163-T1163</f>
        <v>0</v>
      </c>
    </row>
    <row r="1164" spans="2:21">
      <c r="B1164" s="12">
        <v>313</v>
      </c>
      <c r="C1164" t="s">
        <v>134</v>
      </c>
      <c r="G1164">
        <v>2006</v>
      </c>
      <c r="H1164">
        <v>10</v>
      </c>
      <c r="I1164">
        <v>0</v>
      </c>
      <c r="J1164" t="s">
        <v>30</v>
      </c>
      <c r="K1164" s="45">
        <v>7</v>
      </c>
      <c r="L1164">
        <f>G1164+K1164</f>
        <v>2013</v>
      </c>
      <c r="M1164" s="15">
        <f>+L1164+(H1164/12)</f>
        <v>2013.8333333333333</v>
      </c>
      <c r="N1164" s="5">
        <v>14711.32</v>
      </c>
      <c r="O1164" s="5">
        <f>N1164-N1164*I1164</f>
        <v>14711.32</v>
      </c>
      <c r="P1164" s="5">
        <f>O1164/K1164/12</f>
        <v>175.13476190476192</v>
      </c>
      <c r="Q1164" s="5">
        <f>P1164*12</f>
        <v>2101.6171428571429</v>
      </c>
      <c r="R1164" s="5">
        <f>+IF(M1164&lt;=$O$5,0,IF(L1164&gt;$O$4,Q1164,(P1164*H1164)))</f>
        <v>0</v>
      </c>
      <c r="S1164" s="5">
        <f>+IF(R1164=0,N1164,IF($O$3-G1164&lt;1,0,(($O$3-G1164)*Q1164)))</f>
        <v>14711.32</v>
      </c>
      <c r="T1164" s="5">
        <f>+IF(R1164=0,S1164,S1164+R1164)</f>
        <v>14711.32</v>
      </c>
      <c r="U1164" s="5">
        <f>+N1164-T1164</f>
        <v>0</v>
      </c>
    </row>
    <row r="1165" spans="2:21">
      <c r="B1165" s="12">
        <v>234</v>
      </c>
      <c r="C1165" t="s">
        <v>134</v>
      </c>
      <c r="G1165">
        <v>2008</v>
      </c>
      <c r="H1165">
        <v>5</v>
      </c>
      <c r="I1165">
        <v>0</v>
      </c>
      <c r="J1165" t="s">
        <v>30</v>
      </c>
      <c r="K1165" s="45">
        <v>7</v>
      </c>
      <c r="L1165">
        <f>G1165+K1165</f>
        <v>2015</v>
      </c>
      <c r="M1165" s="15">
        <f>+L1165+(H1165/12)</f>
        <v>2015.4166666666667</v>
      </c>
      <c r="N1165" s="5">
        <v>10979.78</v>
      </c>
      <c r="O1165" s="5">
        <f>N1165-N1165*I1165</f>
        <v>10979.78</v>
      </c>
      <c r="P1165" s="5">
        <f>O1165/K1165/12</f>
        <v>130.71166666666667</v>
      </c>
      <c r="Q1165" s="5">
        <f>P1165*12</f>
        <v>1568.54</v>
      </c>
      <c r="R1165" s="5">
        <f>+IF(M1165&lt;=$O$5,0,IF(L1165&gt;$O$4,Q1165,(P1165*H1165)))</f>
        <v>0</v>
      </c>
      <c r="S1165" s="5">
        <f>+IF(R1165=0,N1165,IF($O$3-G1165&lt;1,0,(($O$3-G1165)*Q1165)))</f>
        <v>10979.78</v>
      </c>
      <c r="T1165" s="5">
        <f>+IF(R1165=0,S1165,S1165+R1165)</f>
        <v>10979.78</v>
      </c>
      <c r="U1165" s="5">
        <f>+N1165-T1165</f>
        <v>0</v>
      </c>
    </row>
    <row r="1166" spans="2:21" s="13" customFormat="1">
      <c r="K1166" s="45"/>
      <c r="M1166" s="14"/>
      <c r="N1166" s="5"/>
      <c r="O1166" s="5"/>
      <c r="P1166" s="5"/>
      <c r="Q1166" s="5"/>
      <c r="R1166" s="5"/>
      <c r="S1166" s="5"/>
      <c r="T1166" s="5"/>
      <c r="U1166" s="5"/>
    </row>
    <row r="1167" spans="2:21" s="13" customFormat="1">
      <c r="B1167" s="13">
        <f>SUM(B1161:B1166)</f>
        <v>1806</v>
      </c>
      <c r="C1167" s="13" t="s">
        <v>1187</v>
      </c>
      <c r="K1167" s="45"/>
      <c r="M1167" s="14"/>
      <c r="N1167" s="5"/>
      <c r="O1167" s="5"/>
      <c r="P1167" s="5"/>
      <c r="Q1167" s="5"/>
      <c r="R1167" s="5"/>
      <c r="S1167" s="5"/>
      <c r="T1167" s="5"/>
      <c r="U1167" s="5"/>
    </row>
    <row r="1168" spans="2:21" s="13" customFormat="1" ht="15.75" thickBot="1">
      <c r="K1168" s="45"/>
      <c r="M1168" s="14"/>
      <c r="N1168" s="5"/>
      <c r="O1168" s="5"/>
      <c r="P1168" s="5"/>
      <c r="Q1168" s="5"/>
      <c r="R1168" s="5"/>
      <c r="S1168" s="5"/>
      <c r="T1168" s="5"/>
      <c r="U1168" s="5"/>
    </row>
    <row r="1169" spans="2:21" s="13" customFormat="1" ht="15.75" thickBot="1">
      <c r="B1169" s="19">
        <f>+B1167+B1159+B1153</f>
        <v>23777</v>
      </c>
      <c r="C1169" s="21" t="s">
        <v>1188</v>
      </c>
      <c r="K1169" s="45"/>
      <c r="M1169" s="14"/>
      <c r="N1169" s="5"/>
      <c r="O1169" s="5"/>
      <c r="P1169" s="5"/>
      <c r="Q1169" s="5"/>
      <c r="R1169" s="5"/>
      <c r="S1169" s="5"/>
      <c r="T1169" s="5"/>
      <c r="U1169" s="5"/>
    </row>
    <row r="1170" spans="2:21" s="13" customFormat="1">
      <c r="K1170" s="45"/>
      <c r="M1170" s="14"/>
      <c r="N1170" s="5"/>
      <c r="O1170" s="5"/>
      <c r="P1170" s="5"/>
      <c r="Q1170" s="5"/>
      <c r="R1170" s="5"/>
      <c r="S1170" s="5"/>
      <c r="T1170" s="5"/>
      <c r="U1170" s="5"/>
    </row>
    <row r="1171" spans="2:21" s="13" customFormat="1">
      <c r="K1171" s="45"/>
      <c r="M1171" s="14"/>
      <c r="N1171" s="5"/>
      <c r="O1171" s="5"/>
      <c r="P1171" s="5"/>
      <c r="Q1171" s="5"/>
      <c r="R1171" s="5"/>
      <c r="S1171" s="5"/>
      <c r="T1171" s="5"/>
      <c r="U1171" s="5"/>
    </row>
    <row r="1173" spans="2:21">
      <c r="B1173" s="12">
        <v>432</v>
      </c>
      <c r="C1173" t="s">
        <v>152</v>
      </c>
      <c r="G1173">
        <v>1997</v>
      </c>
      <c r="H1173">
        <v>1</v>
      </c>
      <c r="I1173">
        <v>0</v>
      </c>
      <c r="J1173" t="s">
        <v>30</v>
      </c>
      <c r="K1173" s="45">
        <v>7</v>
      </c>
      <c r="L1173">
        <f t="shared" ref="L1173:L1175" si="382">G1173+K1173</f>
        <v>2004</v>
      </c>
      <c r="M1173" s="15">
        <f t="shared" ref="M1173:M1200" si="383">+L1173+(H1173/12)</f>
        <v>2004.0833333333333</v>
      </c>
      <c r="N1173" s="5">
        <v>6840</v>
      </c>
      <c r="O1173" s="5">
        <f t="shared" ref="O1173:O1175" si="384">N1173-N1173*I1173</f>
        <v>6840</v>
      </c>
      <c r="P1173" s="5">
        <f t="shared" ref="P1173:P1175" si="385">O1173/K1173/12</f>
        <v>81.428571428571431</v>
      </c>
      <c r="Q1173" s="5">
        <f t="shared" ref="Q1173:Q1200" si="386">P1173*12</f>
        <v>977.14285714285711</v>
      </c>
      <c r="R1173" s="5">
        <f t="shared" ref="R1173:R1200" si="387">+IF(M1173&lt;=$O$5,0,IF(L1173&gt;$O$4,Q1173,(P1173*H1173)))</f>
        <v>0</v>
      </c>
      <c r="S1173" s="5">
        <f t="shared" ref="S1173:S1200" si="388">+IF(R1173=0,N1173,IF($O$3-G1173&lt;1,0,(($O$3-G1173)*Q1173)))</f>
        <v>6840</v>
      </c>
      <c r="T1173" s="5">
        <f t="shared" ref="T1173:T1200" si="389">+IF(R1173=0,S1173,S1173+R1173)</f>
        <v>6840</v>
      </c>
      <c r="U1173" s="5">
        <f t="shared" ref="U1173:U1200" si="390">+N1173-T1173</f>
        <v>0</v>
      </c>
    </row>
    <row r="1174" spans="2:21">
      <c r="B1174" s="12">
        <v>394</v>
      </c>
      <c r="C1174" t="s">
        <v>152</v>
      </c>
      <c r="G1174">
        <v>1997</v>
      </c>
      <c r="H1174">
        <v>1</v>
      </c>
      <c r="I1174">
        <v>0</v>
      </c>
      <c r="J1174" t="s">
        <v>30</v>
      </c>
      <c r="K1174" s="45">
        <v>7</v>
      </c>
      <c r="L1174">
        <f t="shared" si="382"/>
        <v>2004</v>
      </c>
      <c r="M1174" s="15">
        <f t="shared" si="383"/>
        <v>2004.0833333333333</v>
      </c>
      <c r="N1174" s="5">
        <v>19894</v>
      </c>
      <c r="O1174" s="5">
        <f t="shared" si="384"/>
        <v>19894</v>
      </c>
      <c r="P1174" s="5">
        <f t="shared" si="385"/>
        <v>236.83333333333334</v>
      </c>
      <c r="Q1174" s="5">
        <f t="shared" si="386"/>
        <v>2842</v>
      </c>
      <c r="R1174" s="5">
        <f t="shared" si="387"/>
        <v>0</v>
      </c>
      <c r="S1174" s="5">
        <f t="shared" si="388"/>
        <v>19894</v>
      </c>
      <c r="T1174" s="5">
        <f t="shared" si="389"/>
        <v>19894</v>
      </c>
      <c r="U1174" s="5">
        <f t="shared" si="390"/>
        <v>0</v>
      </c>
    </row>
    <row r="1175" spans="2:21">
      <c r="B1175" s="12">
        <v>212</v>
      </c>
      <c r="C1175" t="s">
        <v>361</v>
      </c>
      <c r="G1175">
        <v>1999</v>
      </c>
      <c r="H1175">
        <v>1</v>
      </c>
      <c r="I1175">
        <v>0</v>
      </c>
      <c r="J1175" t="s">
        <v>30</v>
      </c>
      <c r="K1175" s="45">
        <v>7</v>
      </c>
      <c r="L1175">
        <f t="shared" si="382"/>
        <v>2006</v>
      </c>
      <c r="M1175" s="15">
        <f t="shared" si="383"/>
        <v>2006.0833333333333</v>
      </c>
      <c r="N1175" s="5">
        <v>10199.25</v>
      </c>
      <c r="O1175" s="5">
        <f t="shared" si="384"/>
        <v>10199.25</v>
      </c>
      <c r="P1175" s="5">
        <f t="shared" si="385"/>
        <v>121.41964285714285</v>
      </c>
      <c r="Q1175" s="5">
        <f t="shared" si="386"/>
        <v>1457.0357142857142</v>
      </c>
      <c r="R1175" s="5">
        <f t="shared" si="387"/>
        <v>0</v>
      </c>
      <c r="S1175" s="5">
        <f t="shared" si="388"/>
        <v>10199.25</v>
      </c>
      <c r="T1175" s="5">
        <f t="shared" si="389"/>
        <v>10199.25</v>
      </c>
      <c r="U1175" s="5">
        <f t="shared" si="390"/>
        <v>0</v>
      </c>
    </row>
    <row r="1176" spans="2:21">
      <c r="B1176" s="12">
        <v>270</v>
      </c>
      <c r="C1176" t="s">
        <v>150</v>
      </c>
      <c r="G1176">
        <v>1999</v>
      </c>
      <c r="H1176">
        <v>11</v>
      </c>
      <c r="I1176">
        <v>0</v>
      </c>
      <c r="J1176" t="s">
        <v>30</v>
      </c>
      <c r="K1176" s="45">
        <v>7</v>
      </c>
      <c r="L1176">
        <f t="shared" ref="L1176:L1200" si="391">G1176+K1176</f>
        <v>2006</v>
      </c>
      <c r="M1176" s="15">
        <f t="shared" si="383"/>
        <v>2006.9166666666667</v>
      </c>
      <c r="N1176" s="5">
        <v>12357.6</v>
      </c>
      <c r="O1176" s="5">
        <f t="shared" ref="O1176:O1200" si="392">N1176-N1176*I1176</f>
        <v>12357.6</v>
      </c>
      <c r="P1176" s="5">
        <f t="shared" ref="P1176:P1200" si="393">O1176/K1176/12</f>
        <v>147.11428571428573</v>
      </c>
      <c r="Q1176" s="5">
        <f t="shared" si="386"/>
        <v>1765.3714285714286</v>
      </c>
      <c r="R1176" s="5">
        <f t="shared" si="387"/>
        <v>0</v>
      </c>
      <c r="S1176" s="5">
        <f t="shared" si="388"/>
        <v>12357.6</v>
      </c>
      <c r="T1176" s="5">
        <f t="shared" si="389"/>
        <v>12357.6</v>
      </c>
      <c r="U1176" s="5">
        <f t="shared" si="390"/>
        <v>0</v>
      </c>
    </row>
    <row r="1177" spans="2:21">
      <c r="B1177" s="12">
        <v>419</v>
      </c>
      <c r="C1177" t="s">
        <v>157</v>
      </c>
      <c r="G1177">
        <v>2003</v>
      </c>
      <c r="H1177">
        <v>3</v>
      </c>
      <c r="I1177">
        <v>0</v>
      </c>
      <c r="J1177" t="s">
        <v>30</v>
      </c>
      <c r="K1177" s="45">
        <v>7</v>
      </c>
      <c r="L1177">
        <f t="shared" si="391"/>
        <v>2010</v>
      </c>
      <c r="M1177" s="15">
        <f t="shared" si="383"/>
        <v>2010.25</v>
      </c>
      <c r="N1177" s="5">
        <v>20093.03</v>
      </c>
      <c r="O1177" s="5">
        <f t="shared" si="392"/>
        <v>20093.03</v>
      </c>
      <c r="P1177" s="5">
        <f t="shared" si="393"/>
        <v>239.20273809523806</v>
      </c>
      <c r="Q1177" s="5">
        <f t="shared" si="386"/>
        <v>2870.4328571428568</v>
      </c>
      <c r="R1177" s="5">
        <f t="shared" si="387"/>
        <v>0</v>
      </c>
      <c r="S1177" s="5">
        <f t="shared" si="388"/>
        <v>20093.03</v>
      </c>
      <c r="T1177" s="5">
        <f t="shared" si="389"/>
        <v>20093.03</v>
      </c>
      <c r="U1177" s="5">
        <f t="shared" si="390"/>
        <v>0</v>
      </c>
    </row>
    <row r="1178" spans="2:21">
      <c r="B1178" s="12">
        <v>423</v>
      </c>
      <c r="C1178" t="s">
        <v>157</v>
      </c>
      <c r="G1178">
        <v>2003</v>
      </c>
      <c r="H1178">
        <v>8</v>
      </c>
      <c r="I1178">
        <v>0</v>
      </c>
      <c r="J1178" t="s">
        <v>30</v>
      </c>
      <c r="K1178" s="45">
        <v>7</v>
      </c>
      <c r="L1178">
        <f t="shared" si="391"/>
        <v>2010</v>
      </c>
      <c r="M1178" s="15">
        <f t="shared" si="383"/>
        <v>2010.6666666666667</v>
      </c>
      <c r="N1178" s="5">
        <v>20295.990000000002</v>
      </c>
      <c r="O1178" s="5">
        <f t="shared" si="392"/>
        <v>20295.990000000002</v>
      </c>
      <c r="P1178" s="5">
        <f t="shared" si="393"/>
        <v>241.6189285714286</v>
      </c>
      <c r="Q1178" s="5">
        <f t="shared" si="386"/>
        <v>2899.4271428571433</v>
      </c>
      <c r="R1178" s="5">
        <f t="shared" si="387"/>
        <v>0</v>
      </c>
      <c r="S1178" s="5">
        <f t="shared" si="388"/>
        <v>20295.990000000002</v>
      </c>
      <c r="T1178" s="5">
        <f t="shared" si="389"/>
        <v>20295.990000000002</v>
      </c>
      <c r="U1178" s="5">
        <f t="shared" si="390"/>
        <v>0</v>
      </c>
    </row>
    <row r="1179" spans="2:21">
      <c r="B1179" s="12">
        <v>440</v>
      </c>
      <c r="C1179" t="s">
        <v>157</v>
      </c>
      <c r="G1179">
        <v>2004</v>
      </c>
      <c r="H1179">
        <v>1</v>
      </c>
      <c r="I1179">
        <v>0</v>
      </c>
      <c r="J1179" t="s">
        <v>30</v>
      </c>
      <c r="K1179" s="45">
        <v>7</v>
      </c>
      <c r="L1179">
        <f t="shared" si="391"/>
        <v>2011</v>
      </c>
      <c r="M1179" s="15">
        <f t="shared" si="383"/>
        <v>2011.0833333333333</v>
      </c>
      <c r="N1179" s="5">
        <v>21097.15</v>
      </c>
      <c r="O1179" s="5">
        <f t="shared" si="392"/>
        <v>21097.15</v>
      </c>
      <c r="P1179" s="5">
        <f t="shared" si="393"/>
        <v>251.15654761904764</v>
      </c>
      <c r="Q1179" s="5">
        <f t="shared" si="386"/>
        <v>3013.8785714285718</v>
      </c>
      <c r="R1179" s="5">
        <f t="shared" si="387"/>
        <v>0</v>
      </c>
      <c r="S1179" s="5">
        <f t="shared" si="388"/>
        <v>21097.15</v>
      </c>
      <c r="T1179" s="5">
        <f t="shared" si="389"/>
        <v>21097.15</v>
      </c>
      <c r="U1179" s="5">
        <f t="shared" si="390"/>
        <v>0</v>
      </c>
    </row>
    <row r="1180" spans="2:21">
      <c r="B1180" s="12">
        <v>421</v>
      </c>
      <c r="C1180" t="s">
        <v>157</v>
      </c>
      <c r="G1180">
        <v>2004</v>
      </c>
      <c r="H1180">
        <v>6</v>
      </c>
      <c r="I1180">
        <v>0</v>
      </c>
      <c r="J1180" t="s">
        <v>30</v>
      </c>
      <c r="K1180" s="45">
        <v>7</v>
      </c>
      <c r="L1180">
        <f t="shared" si="391"/>
        <v>2011</v>
      </c>
      <c r="M1180" s="15">
        <f t="shared" si="383"/>
        <v>2011.5</v>
      </c>
      <c r="N1180" s="5">
        <v>20215.59</v>
      </c>
      <c r="O1180" s="5">
        <f t="shared" si="392"/>
        <v>20215.59</v>
      </c>
      <c r="P1180" s="5">
        <f t="shared" si="393"/>
        <v>240.66178571428574</v>
      </c>
      <c r="Q1180" s="5">
        <f t="shared" si="386"/>
        <v>2887.9414285714288</v>
      </c>
      <c r="R1180" s="5">
        <f t="shared" si="387"/>
        <v>0</v>
      </c>
      <c r="S1180" s="5">
        <f t="shared" si="388"/>
        <v>20215.59</v>
      </c>
      <c r="T1180" s="5">
        <f t="shared" si="389"/>
        <v>20215.59</v>
      </c>
      <c r="U1180" s="5">
        <f t="shared" si="390"/>
        <v>0</v>
      </c>
    </row>
    <row r="1181" spans="2:21">
      <c r="B1181" s="12">
        <v>401</v>
      </c>
      <c r="C1181" t="s">
        <v>157</v>
      </c>
      <c r="G1181">
        <v>2004</v>
      </c>
      <c r="H1181">
        <v>6</v>
      </c>
      <c r="I1181">
        <v>0</v>
      </c>
      <c r="J1181" t="s">
        <v>30</v>
      </c>
      <c r="K1181" s="45">
        <v>7</v>
      </c>
      <c r="L1181">
        <f t="shared" si="391"/>
        <v>2011</v>
      </c>
      <c r="M1181" s="15">
        <f t="shared" si="383"/>
        <v>2011.5</v>
      </c>
      <c r="N1181" s="5">
        <v>19270.66</v>
      </c>
      <c r="O1181" s="5">
        <f t="shared" si="392"/>
        <v>19270.66</v>
      </c>
      <c r="P1181" s="5">
        <f t="shared" si="393"/>
        <v>229.41261904761905</v>
      </c>
      <c r="Q1181" s="5">
        <f t="shared" si="386"/>
        <v>2752.9514285714286</v>
      </c>
      <c r="R1181" s="5">
        <f t="shared" si="387"/>
        <v>0</v>
      </c>
      <c r="S1181" s="5">
        <f t="shared" si="388"/>
        <v>19270.66</v>
      </c>
      <c r="T1181" s="5">
        <f t="shared" si="389"/>
        <v>19270.66</v>
      </c>
      <c r="U1181" s="5">
        <f t="shared" si="390"/>
        <v>0</v>
      </c>
    </row>
    <row r="1182" spans="2:21">
      <c r="B1182" s="12">
        <v>204</v>
      </c>
      <c r="C1182" t="s">
        <v>157</v>
      </c>
      <c r="G1182">
        <v>2004</v>
      </c>
      <c r="H1182">
        <v>12</v>
      </c>
      <c r="I1182">
        <v>0</v>
      </c>
      <c r="J1182" t="s">
        <v>30</v>
      </c>
      <c r="K1182" s="45">
        <v>7</v>
      </c>
      <c r="L1182">
        <f t="shared" si="391"/>
        <v>2011</v>
      </c>
      <c r="M1182" s="15">
        <f t="shared" si="383"/>
        <v>2012</v>
      </c>
      <c r="N1182" s="5">
        <v>9769.8799999999992</v>
      </c>
      <c r="O1182" s="5">
        <f t="shared" si="392"/>
        <v>9769.8799999999992</v>
      </c>
      <c r="P1182" s="5">
        <f t="shared" si="393"/>
        <v>116.30809523809523</v>
      </c>
      <c r="Q1182" s="5">
        <f t="shared" si="386"/>
        <v>1395.6971428571428</v>
      </c>
      <c r="R1182" s="5">
        <f t="shared" si="387"/>
        <v>0</v>
      </c>
      <c r="S1182" s="5">
        <f t="shared" si="388"/>
        <v>9769.8799999999992</v>
      </c>
      <c r="T1182" s="5">
        <f t="shared" si="389"/>
        <v>9769.8799999999992</v>
      </c>
      <c r="U1182" s="5">
        <f t="shared" si="390"/>
        <v>0</v>
      </c>
    </row>
    <row r="1183" spans="2:21">
      <c r="B1183" s="12">
        <v>421</v>
      </c>
      <c r="C1183" t="s">
        <v>157</v>
      </c>
      <c r="G1183">
        <v>2005</v>
      </c>
      <c r="H1183">
        <v>1</v>
      </c>
      <c r="I1183">
        <v>0</v>
      </c>
      <c r="J1183" t="s">
        <v>30</v>
      </c>
      <c r="K1183" s="45">
        <v>7</v>
      </c>
      <c r="L1183">
        <f t="shared" si="391"/>
        <v>2012</v>
      </c>
      <c r="M1183" s="15">
        <f t="shared" si="383"/>
        <v>2012.0833333333333</v>
      </c>
      <c r="N1183" s="5">
        <v>19764.61</v>
      </c>
      <c r="O1183" s="5">
        <f t="shared" si="392"/>
        <v>19764.61</v>
      </c>
      <c r="P1183" s="5">
        <f t="shared" si="393"/>
        <v>235.2929761904762</v>
      </c>
      <c r="Q1183" s="5">
        <f t="shared" si="386"/>
        <v>2823.5157142857142</v>
      </c>
      <c r="R1183" s="5">
        <f t="shared" si="387"/>
        <v>0</v>
      </c>
      <c r="S1183" s="5">
        <f t="shared" si="388"/>
        <v>19764.61</v>
      </c>
      <c r="T1183" s="5">
        <f t="shared" si="389"/>
        <v>19764.61</v>
      </c>
      <c r="U1183" s="5">
        <f t="shared" si="390"/>
        <v>0</v>
      </c>
    </row>
    <row r="1184" spans="2:21">
      <c r="B1184" s="12">
        <v>418</v>
      </c>
      <c r="C1184" t="s">
        <v>157</v>
      </c>
      <c r="G1184">
        <v>2005</v>
      </c>
      <c r="H1184">
        <v>1</v>
      </c>
      <c r="I1184">
        <v>0</v>
      </c>
      <c r="J1184" t="s">
        <v>30</v>
      </c>
      <c r="K1184" s="45">
        <v>7</v>
      </c>
      <c r="L1184">
        <f t="shared" si="391"/>
        <v>2012</v>
      </c>
      <c r="M1184" s="15">
        <f t="shared" si="383"/>
        <v>2012.0833333333333</v>
      </c>
      <c r="N1184" s="5">
        <v>20084.599999999999</v>
      </c>
      <c r="O1184" s="5">
        <f t="shared" si="392"/>
        <v>20084.599999999999</v>
      </c>
      <c r="P1184" s="5">
        <f t="shared" si="393"/>
        <v>239.10238095238094</v>
      </c>
      <c r="Q1184" s="5">
        <f t="shared" si="386"/>
        <v>2869.2285714285713</v>
      </c>
      <c r="R1184" s="5">
        <f t="shared" si="387"/>
        <v>0</v>
      </c>
      <c r="S1184" s="5">
        <f t="shared" si="388"/>
        <v>20084.599999999999</v>
      </c>
      <c r="T1184" s="5">
        <f t="shared" si="389"/>
        <v>20084.599999999999</v>
      </c>
      <c r="U1184" s="5">
        <f t="shared" si="390"/>
        <v>0</v>
      </c>
    </row>
    <row r="1185" spans="2:21">
      <c r="B1185" s="12">
        <v>418</v>
      </c>
      <c r="C1185" t="s">
        <v>157</v>
      </c>
      <c r="G1185">
        <v>2005</v>
      </c>
      <c r="H1185">
        <v>1</v>
      </c>
      <c r="I1185">
        <v>0</v>
      </c>
      <c r="J1185" t="s">
        <v>30</v>
      </c>
      <c r="K1185" s="45">
        <v>7</v>
      </c>
      <c r="L1185">
        <f t="shared" si="391"/>
        <v>2012</v>
      </c>
      <c r="M1185" s="15">
        <f t="shared" si="383"/>
        <v>2012.0833333333333</v>
      </c>
      <c r="N1185" s="5">
        <v>20084.599999999999</v>
      </c>
      <c r="O1185" s="5">
        <f t="shared" si="392"/>
        <v>20084.599999999999</v>
      </c>
      <c r="P1185" s="5">
        <f t="shared" si="393"/>
        <v>239.10238095238094</v>
      </c>
      <c r="Q1185" s="5">
        <f t="shared" si="386"/>
        <v>2869.2285714285713</v>
      </c>
      <c r="R1185" s="5">
        <f t="shared" si="387"/>
        <v>0</v>
      </c>
      <c r="S1185" s="5">
        <f t="shared" si="388"/>
        <v>20084.599999999999</v>
      </c>
      <c r="T1185" s="5">
        <f t="shared" si="389"/>
        <v>20084.599999999999</v>
      </c>
      <c r="U1185" s="5">
        <f t="shared" si="390"/>
        <v>0</v>
      </c>
    </row>
    <row r="1186" spans="2:21">
      <c r="B1186" s="12">
        <v>480</v>
      </c>
      <c r="C1186" t="s">
        <v>157</v>
      </c>
      <c r="G1186">
        <v>2005</v>
      </c>
      <c r="H1186">
        <v>6</v>
      </c>
      <c r="I1186">
        <v>0</v>
      </c>
      <c r="J1186" t="s">
        <v>30</v>
      </c>
      <c r="K1186" s="45">
        <v>7</v>
      </c>
      <c r="L1186">
        <f t="shared" si="391"/>
        <v>2012</v>
      </c>
      <c r="M1186" s="15">
        <f t="shared" si="383"/>
        <v>2012.5</v>
      </c>
      <c r="N1186" s="5">
        <v>23038.25</v>
      </c>
      <c r="O1186" s="5">
        <f t="shared" si="392"/>
        <v>23038.25</v>
      </c>
      <c r="P1186" s="5">
        <f t="shared" si="393"/>
        <v>274.26488095238096</v>
      </c>
      <c r="Q1186" s="5">
        <f t="shared" si="386"/>
        <v>3291.1785714285716</v>
      </c>
      <c r="R1186" s="5">
        <f t="shared" si="387"/>
        <v>0</v>
      </c>
      <c r="S1186" s="5">
        <f t="shared" si="388"/>
        <v>23038.25</v>
      </c>
      <c r="T1186" s="5">
        <f t="shared" si="389"/>
        <v>23038.25</v>
      </c>
      <c r="U1186" s="5">
        <f t="shared" si="390"/>
        <v>0</v>
      </c>
    </row>
    <row r="1187" spans="2:21">
      <c r="B1187" s="12">
        <v>512</v>
      </c>
      <c r="C1187" t="s">
        <v>157</v>
      </c>
      <c r="G1187">
        <v>2006</v>
      </c>
      <c r="H1187">
        <v>2</v>
      </c>
      <c r="I1187">
        <v>0</v>
      </c>
      <c r="J1187" t="s">
        <v>30</v>
      </c>
      <c r="K1187" s="45">
        <v>7</v>
      </c>
      <c r="L1187">
        <f t="shared" si="391"/>
        <v>2013</v>
      </c>
      <c r="M1187" s="15">
        <f t="shared" si="383"/>
        <v>2013.1666666666667</v>
      </c>
      <c r="N1187" s="5">
        <v>24597.360000000001</v>
      </c>
      <c r="O1187" s="5">
        <f t="shared" si="392"/>
        <v>24597.360000000001</v>
      </c>
      <c r="P1187" s="5">
        <f t="shared" si="393"/>
        <v>292.8257142857143</v>
      </c>
      <c r="Q1187" s="5">
        <f t="shared" si="386"/>
        <v>3513.9085714285716</v>
      </c>
      <c r="R1187" s="5">
        <f t="shared" si="387"/>
        <v>0</v>
      </c>
      <c r="S1187" s="5">
        <f t="shared" si="388"/>
        <v>24597.360000000001</v>
      </c>
      <c r="T1187" s="5">
        <f t="shared" si="389"/>
        <v>24597.360000000001</v>
      </c>
      <c r="U1187" s="5">
        <f t="shared" si="390"/>
        <v>0</v>
      </c>
    </row>
    <row r="1188" spans="2:21">
      <c r="B1188" s="12">
        <v>272</v>
      </c>
      <c r="C1188" t="s">
        <v>157</v>
      </c>
      <c r="G1188">
        <v>2006</v>
      </c>
      <c r="H1188">
        <v>10</v>
      </c>
      <c r="I1188">
        <v>0</v>
      </c>
      <c r="J1188" t="s">
        <v>30</v>
      </c>
      <c r="K1188" s="45">
        <v>7</v>
      </c>
      <c r="L1188">
        <f t="shared" si="391"/>
        <v>2013</v>
      </c>
      <c r="M1188" s="15">
        <f t="shared" si="383"/>
        <v>2013.8333333333333</v>
      </c>
      <c r="N1188" s="5">
        <f>13057.61+924.32+1162.19</f>
        <v>15144.12</v>
      </c>
      <c r="O1188" s="5">
        <f t="shared" si="392"/>
        <v>15144.12</v>
      </c>
      <c r="P1188" s="5">
        <f t="shared" si="393"/>
        <v>180.28714285714287</v>
      </c>
      <c r="Q1188" s="5">
        <f t="shared" si="386"/>
        <v>2163.4457142857145</v>
      </c>
      <c r="R1188" s="5">
        <f t="shared" si="387"/>
        <v>0</v>
      </c>
      <c r="S1188" s="5">
        <f t="shared" si="388"/>
        <v>15144.12</v>
      </c>
      <c r="T1188" s="5">
        <f t="shared" si="389"/>
        <v>15144.12</v>
      </c>
      <c r="U1188" s="5">
        <f t="shared" si="390"/>
        <v>0</v>
      </c>
    </row>
    <row r="1189" spans="2:21">
      <c r="B1189" s="12">
        <v>563</v>
      </c>
      <c r="C1189" t="s">
        <v>150</v>
      </c>
      <c r="G1189">
        <v>2007</v>
      </c>
      <c r="H1189">
        <v>1</v>
      </c>
      <c r="I1189">
        <v>0</v>
      </c>
      <c r="J1189" t="s">
        <v>30</v>
      </c>
      <c r="K1189" s="45">
        <v>7</v>
      </c>
      <c r="L1189">
        <f t="shared" si="391"/>
        <v>2014</v>
      </c>
      <c r="M1189" s="15">
        <f t="shared" si="383"/>
        <v>2014.0833333333333</v>
      </c>
      <c r="N1189" s="5">
        <v>27034.63</v>
      </c>
      <c r="O1189" s="5">
        <f t="shared" si="392"/>
        <v>27034.63</v>
      </c>
      <c r="P1189" s="5">
        <f t="shared" si="393"/>
        <v>321.84083333333336</v>
      </c>
      <c r="Q1189" s="5">
        <f t="shared" si="386"/>
        <v>3862.09</v>
      </c>
      <c r="R1189" s="5">
        <f t="shared" si="387"/>
        <v>0</v>
      </c>
      <c r="S1189" s="5">
        <f t="shared" si="388"/>
        <v>27034.63</v>
      </c>
      <c r="T1189" s="5">
        <f t="shared" si="389"/>
        <v>27034.63</v>
      </c>
      <c r="U1189" s="5">
        <f t="shared" si="390"/>
        <v>0</v>
      </c>
    </row>
    <row r="1190" spans="2:21">
      <c r="B1190" s="12">
        <v>568</v>
      </c>
      <c r="C1190" t="s">
        <v>157</v>
      </c>
      <c r="G1190">
        <v>2007</v>
      </c>
      <c r="H1190">
        <v>5</v>
      </c>
      <c r="I1190">
        <v>0</v>
      </c>
      <c r="J1190" t="s">
        <v>30</v>
      </c>
      <c r="K1190" s="45">
        <v>7</v>
      </c>
      <c r="L1190">
        <f t="shared" si="391"/>
        <v>2014</v>
      </c>
      <c r="M1190" s="15">
        <f t="shared" si="383"/>
        <v>2014.4166666666667</v>
      </c>
      <c r="N1190" s="5">
        <v>27267.11</v>
      </c>
      <c r="O1190" s="5">
        <f t="shared" si="392"/>
        <v>27267.11</v>
      </c>
      <c r="P1190" s="5">
        <f t="shared" si="393"/>
        <v>324.60845238095237</v>
      </c>
      <c r="Q1190" s="5">
        <f t="shared" si="386"/>
        <v>3895.3014285714285</v>
      </c>
      <c r="R1190" s="5">
        <f t="shared" si="387"/>
        <v>0</v>
      </c>
      <c r="S1190" s="5">
        <f t="shared" si="388"/>
        <v>27267.11</v>
      </c>
      <c r="T1190" s="5">
        <f t="shared" si="389"/>
        <v>27267.11</v>
      </c>
      <c r="U1190" s="5">
        <f t="shared" si="390"/>
        <v>0</v>
      </c>
    </row>
    <row r="1191" spans="2:21">
      <c r="B1191" s="12">
        <v>566</v>
      </c>
      <c r="C1191" t="s">
        <v>150</v>
      </c>
      <c r="G1191">
        <v>2007</v>
      </c>
      <c r="H1191">
        <v>6</v>
      </c>
      <c r="I1191">
        <v>0</v>
      </c>
      <c r="J1191" t="s">
        <v>30</v>
      </c>
      <c r="K1191" s="45">
        <v>7</v>
      </c>
      <c r="L1191">
        <f t="shared" si="391"/>
        <v>2014</v>
      </c>
      <c r="M1191" s="15">
        <f t="shared" si="383"/>
        <v>2014.5</v>
      </c>
      <c r="N1191" s="5">
        <v>27267.11</v>
      </c>
      <c r="O1191" s="5">
        <f t="shared" si="392"/>
        <v>27267.11</v>
      </c>
      <c r="P1191" s="5">
        <f t="shared" si="393"/>
        <v>324.60845238095237</v>
      </c>
      <c r="Q1191" s="5">
        <f t="shared" si="386"/>
        <v>3895.3014285714285</v>
      </c>
      <c r="R1191" s="5">
        <f t="shared" si="387"/>
        <v>0</v>
      </c>
      <c r="S1191" s="5">
        <f t="shared" si="388"/>
        <v>27267.11</v>
      </c>
      <c r="T1191" s="5">
        <f t="shared" si="389"/>
        <v>27267.11</v>
      </c>
      <c r="U1191" s="5">
        <f t="shared" si="390"/>
        <v>0</v>
      </c>
    </row>
    <row r="1192" spans="2:21">
      <c r="B1192" s="12">
        <v>592</v>
      </c>
      <c r="C1192" t="s">
        <v>155</v>
      </c>
      <c r="G1192">
        <v>2007</v>
      </c>
      <c r="H1192">
        <v>9</v>
      </c>
      <c r="I1192">
        <v>0</v>
      </c>
      <c r="J1192" t="s">
        <v>30</v>
      </c>
      <c r="K1192" s="45">
        <v>7</v>
      </c>
      <c r="L1192">
        <f t="shared" si="391"/>
        <v>2014</v>
      </c>
      <c r="M1192" s="15">
        <f t="shared" si="383"/>
        <v>2014.75</v>
      </c>
      <c r="N1192" s="5">
        <v>28404.73</v>
      </c>
      <c r="O1192" s="5">
        <f t="shared" si="392"/>
        <v>28404.73</v>
      </c>
      <c r="P1192" s="5">
        <f t="shared" si="393"/>
        <v>338.15154761904762</v>
      </c>
      <c r="Q1192" s="5">
        <f t="shared" si="386"/>
        <v>4057.8185714285714</v>
      </c>
      <c r="R1192" s="5">
        <f t="shared" si="387"/>
        <v>0</v>
      </c>
      <c r="S1192" s="5">
        <f t="shared" si="388"/>
        <v>28404.73</v>
      </c>
      <c r="T1192" s="5">
        <f t="shared" si="389"/>
        <v>28404.73</v>
      </c>
      <c r="U1192" s="5">
        <f t="shared" si="390"/>
        <v>0</v>
      </c>
    </row>
    <row r="1193" spans="2:21">
      <c r="B1193" s="12">
        <v>594</v>
      </c>
      <c r="C1193" t="s">
        <v>150</v>
      </c>
      <c r="G1193">
        <v>2007</v>
      </c>
      <c r="H1193">
        <v>10</v>
      </c>
      <c r="I1193">
        <v>0</v>
      </c>
      <c r="J1193" t="s">
        <v>30</v>
      </c>
      <c r="K1193" s="45">
        <v>7</v>
      </c>
      <c r="L1193">
        <f t="shared" si="391"/>
        <v>2014</v>
      </c>
      <c r="M1193" s="15">
        <f t="shared" si="383"/>
        <v>2014.8333333333333</v>
      </c>
      <c r="N1193" s="5">
        <v>28519.74</v>
      </c>
      <c r="O1193" s="5">
        <f t="shared" si="392"/>
        <v>28519.74</v>
      </c>
      <c r="P1193" s="5">
        <f t="shared" si="393"/>
        <v>339.52071428571429</v>
      </c>
      <c r="Q1193" s="5">
        <f t="shared" si="386"/>
        <v>4074.2485714285713</v>
      </c>
      <c r="R1193" s="5">
        <f t="shared" si="387"/>
        <v>0</v>
      </c>
      <c r="S1193" s="5">
        <f t="shared" si="388"/>
        <v>28519.74</v>
      </c>
      <c r="T1193" s="5">
        <f t="shared" si="389"/>
        <v>28519.74</v>
      </c>
      <c r="U1193" s="5">
        <f t="shared" si="390"/>
        <v>0</v>
      </c>
    </row>
    <row r="1194" spans="2:21">
      <c r="B1194" s="12">
        <v>1221</v>
      </c>
      <c r="C1194" t="s">
        <v>150</v>
      </c>
      <c r="G1194">
        <v>2008</v>
      </c>
      <c r="H1194">
        <v>1</v>
      </c>
      <c r="I1194">
        <v>0</v>
      </c>
      <c r="J1194" t="s">
        <v>30</v>
      </c>
      <c r="K1194" s="45">
        <v>7</v>
      </c>
      <c r="L1194">
        <f t="shared" si="391"/>
        <v>2015</v>
      </c>
      <c r="M1194" s="15">
        <f t="shared" si="383"/>
        <v>2015.0833333333333</v>
      </c>
      <c r="N1194" s="5">
        <v>58619.32</v>
      </c>
      <c r="O1194" s="5">
        <f t="shared" si="392"/>
        <v>58619.32</v>
      </c>
      <c r="P1194" s="5">
        <f t="shared" si="393"/>
        <v>697.84904761904761</v>
      </c>
      <c r="Q1194" s="5">
        <f t="shared" si="386"/>
        <v>8374.1885714285709</v>
      </c>
      <c r="R1194" s="5">
        <f t="shared" si="387"/>
        <v>0</v>
      </c>
      <c r="S1194" s="5">
        <f t="shared" si="388"/>
        <v>58619.32</v>
      </c>
      <c r="T1194" s="5">
        <f t="shared" si="389"/>
        <v>58619.32</v>
      </c>
      <c r="U1194" s="5">
        <f t="shared" si="390"/>
        <v>0</v>
      </c>
    </row>
    <row r="1195" spans="2:21">
      <c r="B1195" s="12">
        <v>618</v>
      </c>
      <c r="C1195" t="s">
        <v>157</v>
      </c>
      <c r="G1195">
        <v>2008</v>
      </c>
      <c r="H1195">
        <v>3</v>
      </c>
      <c r="I1195">
        <v>0</v>
      </c>
      <c r="J1195" t="s">
        <v>30</v>
      </c>
      <c r="K1195" s="45">
        <v>7</v>
      </c>
      <c r="L1195">
        <f t="shared" si="391"/>
        <v>2015</v>
      </c>
      <c r="M1195" s="15">
        <f t="shared" si="383"/>
        <v>2015.25</v>
      </c>
      <c r="N1195" s="5">
        <v>29659.35</v>
      </c>
      <c r="O1195" s="5">
        <f t="shared" si="392"/>
        <v>29659.35</v>
      </c>
      <c r="P1195" s="5">
        <f t="shared" si="393"/>
        <v>353.08750000000003</v>
      </c>
      <c r="Q1195" s="5">
        <f t="shared" si="386"/>
        <v>4237.05</v>
      </c>
      <c r="R1195" s="5">
        <f t="shared" si="387"/>
        <v>0</v>
      </c>
      <c r="S1195" s="5">
        <f t="shared" si="388"/>
        <v>29659.35</v>
      </c>
      <c r="T1195" s="5">
        <f t="shared" si="389"/>
        <v>29659.35</v>
      </c>
      <c r="U1195" s="5">
        <f t="shared" si="390"/>
        <v>0</v>
      </c>
    </row>
    <row r="1196" spans="2:21">
      <c r="B1196" s="12">
        <v>307</v>
      </c>
      <c r="C1196" t="s">
        <v>157</v>
      </c>
      <c r="G1196">
        <v>2008</v>
      </c>
      <c r="H1196">
        <v>6</v>
      </c>
      <c r="I1196">
        <v>0</v>
      </c>
      <c r="J1196" t="s">
        <v>30</v>
      </c>
      <c r="K1196" s="45">
        <v>7</v>
      </c>
      <c r="L1196">
        <f t="shared" si="391"/>
        <v>2015</v>
      </c>
      <c r="M1196" s="15">
        <f t="shared" si="383"/>
        <v>2015.5</v>
      </c>
      <c r="N1196" s="5">
        <v>14758.75</v>
      </c>
      <c r="O1196" s="5">
        <f t="shared" si="392"/>
        <v>14758.75</v>
      </c>
      <c r="P1196" s="5">
        <f t="shared" si="393"/>
        <v>175.69940476190479</v>
      </c>
      <c r="Q1196" s="5">
        <f t="shared" si="386"/>
        <v>2108.3928571428573</v>
      </c>
      <c r="R1196" s="5">
        <f t="shared" si="387"/>
        <v>0</v>
      </c>
      <c r="S1196" s="5">
        <f t="shared" si="388"/>
        <v>14758.75</v>
      </c>
      <c r="T1196" s="5">
        <f t="shared" si="389"/>
        <v>14758.75</v>
      </c>
      <c r="U1196" s="5">
        <f t="shared" si="390"/>
        <v>0</v>
      </c>
    </row>
    <row r="1197" spans="2:21">
      <c r="B1197" s="12">
        <v>592</v>
      </c>
      <c r="C1197" t="s">
        <v>360</v>
      </c>
      <c r="G1197">
        <v>2008</v>
      </c>
      <c r="H1197">
        <v>8</v>
      </c>
      <c r="I1197">
        <v>0</v>
      </c>
      <c r="J1197" t="s">
        <v>30</v>
      </c>
      <c r="K1197" s="45">
        <v>7</v>
      </c>
      <c r="L1197">
        <f t="shared" si="391"/>
        <v>2015</v>
      </c>
      <c r="M1197" s="15">
        <f t="shared" si="383"/>
        <v>2015.6666666666667</v>
      </c>
      <c r="N1197" s="5">
        <v>28433.040000000001</v>
      </c>
      <c r="O1197" s="5">
        <f t="shared" si="392"/>
        <v>28433.040000000001</v>
      </c>
      <c r="P1197" s="5">
        <f t="shared" si="393"/>
        <v>338.48857142857145</v>
      </c>
      <c r="Q1197" s="5">
        <f t="shared" si="386"/>
        <v>4061.8628571428571</v>
      </c>
      <c r="R1197" s="5">
        <f t="shared" si="387"/>
        <v>0</v>
      </c>
      <c r="S1197" s="5">
        <f t="shared" si="388"/>
        <v>28433.040000000001</v>
      </c>
      <c r="T1197" s="5">
        <f t="shared" si="389"/>
        <v>28433.040000000001</v>
      </c>
      <c r="U1197" s="5">
        <f t="shared" si="390"/>
        <v>0</v>
      </c>
    </row>
    <row r="1198" spans="2:21">
      <c r="B1198" s="12">
        <v>486</v>
      </c>
      <c r="C1198" t="s">
        <v>150</v>
      </c>
      <c r="E1198">
        <v>66102</v>
      </c>
      <c r="G1198">
        <v>2009</v>
      </c>
      <c r="H1198">
        <v>7</v>
      </c>
      <c r="I1198">
        <v>0</v>
      </c>
      <c r="J1198" t="s">
        <v>30</v>
      </c>
      <c r="K1198" s="45">
        <v>7</v>
      </c>
      <c r="L1198">
        <f t="shared" si="391"/>
        <v>2016</v>
      </c>
      <c r="M1198" s="15">
        <f t="shared" si="383"/>
        <v>2016.5833333333333</v>
      </c>
      <c r="N1198" s="5">
        <v>22586.53</v>
      </c>
      <c r="O1198" s="5">
        <f t="shared" si="392"/>
        <v>22586.53</v>
      </c>
      <c r="P1198" s="5">
        <f t="shared" si="393"/>
        <v>268.88726190476189</v>
      </c>
      <c r="Q1198" s="5">
        <f t="shared" si="386"/>
        <v>3226.6471428571426</v>
      </c>
      <c r="R1198" s="5">
        <f t="shared" si="387"/>
        <v>0</v>
      </c>
      <c r="S1198" s="5">
        <f t="shared" si="388"/>
        <v>22586.53</v>
      </c>
      <c r="T1198" s="5">
        <f t="shared" si="389"/>
        <v>22586.53</v>
      </c>
      <c r="U1198" s="5">
        <f t="shared" si="390"/>
        <v>0</v>
      </c>
    </row>
    <row r="1199" spans="2:21">
      <c r="B1199" s="12">
        <v>486</v>
      </c>
      <c r="C1199" t="s">
        <v>384</v>
      </c>
      <c r="E1199">
        <v>77551</v>
      </c>
      <c r="G1199">
        <v>2010</v>
      </c>
      <c r="H1199">
        <v>9</v>
      </c>
      <c r="I1199">
        <v>0</v>
      </c>
      <c r="J1199" t="s">
        <v>30</v>
      </c>
      <c r="K1199" s="45">
        <v>7</v>
      </c>
      <c r="L1199">
        <f t="shared" si="391"/>
        <v>2017</v>
      </c>
      <c r="M1199" s="15">
        <f t="shared" si="383"/>
        <v>2017.75</v>
      </c>
      <c r="N1199" s="5">
        <v>23638.32</v>
      </c>
      <c r="O1199" s="5">
        <f t="shared" si="392"/>
        <v>23638.32</v>
      </c>
      <c r="P1199" s="5">
        <f t="shared" si="393"/>
        <v>281.40857142857141</v>
      </c>
      <c r="Q1199" s="5">
        <f t="shared" si="386"/>
        <v>3376.9028571428571</v>
      </c>
      <c r="R1199" s="5">
        <f t="shared" si="387"/>
        <v>0</v>
      </c>
      <c r="S1199" s="5">
        <f t="shared" si="388"/>
        <v>23638.32</v>
      </c>
      <c r="T1199" s="5">
        <f t="shared" si="389"/>
        <v>23638.32</v>
      </c>
      <c r="U1199" s="5">
        <f t="shared" si="390"/>
        <v>0</v>
      </c>
    </row>
    <row r="1200" spans="2:21">
      <c r="B1200" s="12">
        <v>437</v>
      </c>
      <c r="C1200" t="s">
        <v>384</v>
      </c>
      <c r="E1200">
        <v>84014</v>
      </c>
      <c r="G1200">
        <v>2011</v>
      </c>
      <c r="H1200">
        <v>5</v>
      </c>
      <c r="I1200">
        <v>0</v>
      </c>
      <c r="J1200" t="s">
        <v>30</v>
      </c>
      <c r="K1200" s="45">
        <v>7</v>
      </c>
      <c r="L1200">
        <f t="shared" si="391"/>
        <v>2018</v>
      </c>
      <c r="M1200" s="15">
        <f t="shared" si="383"/>
        <v>2018.4166666666667</v>
      </c>
      <c r="N1200" s="5">
        <v>22668.84</v>
      </c>
      <c r="O1200" s="5">
        <f t="shared" si="392"/>
        <v>22668.84</v>
      </c>
      <c r="P1200" s="5">
        <f t="shared" si="393"/>
        <v>269.86714285714282</v>
      </c>
      <c r="Q1200" s="5">
        <f t="shared" si="386"/>
        <v>3238.4057142857137</v>
      </c>
      <c r="R1200" s="5">
        <f t="shared" si="387"/>
        <v>0</v>
      </c>
      <c r="S1200" s="5">
        <f t="shared" si="388"/>
        <v>22668.84</v>
      </c>
      <c r="T1200" s="5">
        <f t="shared" si="389"/>
        <v>22668.84</v>
      </c>
      <c r="U1200" s="5">
        <f t="shared" si="390"/>
        <v>0</v>
      </c>
    </row>
    <row r="1202" spans="2:21">
      <c r="B1202">
        <f>SUM(B1173:B1201)</f>
        <v>13167</v>
      </c>
      <c r="C1202" t="s">
        <v>1181</v>
      </c>
    </row>
    <row r="1204" spans="2:21">
      <c r="B1204" s="12">
        <v>375</v>
      </c>
      <c r="C1204" t="s">
        <v>312</v>
      </c>
      <c r="G1204">
        <v>1993</v>
      </c>
      <c r="H1204">
        <v>7</v>
      </c>
      <c r="I1204">
        <v>0</v>
      </c>
      <c r="J1204" t="s">
        <v>30</v>
      </c>
      <c r="K1204" s="45">
        <v>7</v>
      </c>
      <c r="L1204">
        <f t="shared" ref="L1204:L1235" si="394">G1204+K1204</f>
        <v>2000</v>
      </c>
      <c r="M1204" s="15">
        <f t="shared" ref="M1204:M1235" si="395">+L1204+(H1204/12)</f>
        <v>2000.5833333333333</v>
      </c>
      <c r="N1204" s="5">
        <v>17976</v>
      </c>
      <c r="O1204" s="5">
        <f t="shared" ref="O1204:O1235" si="396">N1204-N1204*I1204</f>
        <v>17976</v>
      </c>
      <c r="P1204" s="5">
        <f t="shared" ref="P1204:P1235" si="397">O1204/K1204/12</f>
        <v>214</v>
      </c>
      <c r="Q1204" s="5">
        <f t="shared" ref="Q1204:Q1235" si="398">P1204*12</f>
        <v>2568</v>
      </c>
      <c r="R1204" s="5">
        <f t="shared" ref="R1204:R1235" si="399">+IF(M1204&lt;=$O$5,0,IF(L1204&gt;$O$4,Q1204,(P1204*H1204)))</f>
        <v>0</v>
      </c>
      <c r="S1204" s="5">
        <f t="shared" ref="S1204:S1235" si="400">+IF(R1204=0,N1204,IF($O$3-G1204&lt;1,0,(($O$3-G1204)*Q1204)))</f>
        <v>17976</v>
      </c>
      <c r="T1204" s="5">
        <f t="shared" ref="T1204:T1235" si="401">+IF(R1204=0,S1204,S1204+R1204)</f>
        <v>17976</v>
      </c>
      <c r="U1204" s="5">
        <f t="shared" ref="U1204:U1235" si="402">+N1204-T1204</f>
        <v>0</v>
      </c>
    </row>
    <row r="1205" spans="2:21">
      <c r="B1205" s="12">
        <v>350</v>
      </c>
      <c r="C1205" t="s">
        <v>301</v>
      </c>
      <c r="G1205">
        <v>1994</v>
      </c>
      <c r="H1205">
        <v>3</v>
      </c>
      <c r="I1205">
        <v>0</v>
      </c>
      <c r="J1205" t="s">
        <v>30</v>
      </c>
      <c r="K1205" s="45">
        <v>7</v>
      </c>
      <c r="L1205">
        <f t="shared" si="394"/>
        <v>2001</v>
      </c>
      <c r="M1205" s="15">
        <f t="shared" si="395"/>
        <v>2001.25</v>
      </c>
      <c r="N1205" s="5">
        <v>17167</v>
      </c>
      <c r="O1205" s="5">
        <f t="shared" si="396"/>
        <v>17167</v>
      </c>
      <c r="P1205" s="5">
        <f t="shared" si="397"/>
        <v>204.36904761904762</v>
      </c>
      <c r="Q1205" s="5">
        <f t="shared" si="398"/>
        <v>2452.4285714285716</v>
      </c>
      <c r="R1205" s="5">
        <f t="shared" si="399"/>
        <v>0</v>
      </c>
      <c r="S1205" s="5">
        <f t="shared" si="400"/>
        <v>17167</v>
      </c>
      <c r="T1205" s="5">
        <f t="shared" si="401"/>
        <v>17167</v>
      </c>
      <c r="U1205" s="5">
        <f t="shared" si="402"/>
        <v>0</v>
      </c>
    </row>
    <row r="1206" spans="2:21">
      <c r="B1206" s="12">
        <v>322</v>
      </c>
      <c r="C1206" t="s">
        <v>303</v>
      </c>
      <c r="G1206">
        <v>1994</v>
      </c>
      <c r="H1206">
        <v>3</v>
      </c>
      <c r="I1206">
        <v>0</v>
      </c>
      <c r="J1206" t="s">
        <v>30</v>
      </c>
      <c r="K1206" s="45">
        <v>7</v>
      </c>
      <c r="L1206">
        <f t="shared" si="394"/>
        <v>2001</v>
      </c>
      <c r="M1206" s="15">
        <f t="shared" si="395"/>
        <v>2001.25</v>
      </c>
      <c r="N1206" s="5">
        <v>15794</v>
      </c>
      <c r="O1206" s="5">
        <f t="shared" si="396"/>
        <v>15794</v>
      </c>
      <c r="P1206" s="5">
        <f t="shared" si="397"/>
        <v>188.02380952380952</v>
      </c>
      <c r="Q1206" s="5">
        <f t="shared" si="398"/>
        <v>2256.2857142857142</v>
      </c>
      <c r="R1206" s="5">
        <f t="shared" si="399"/>
        <v>0</v>
      </c>
      <c r="S1206" s="5">
        <f t="shared" si="400"/>
        <v>15794</v>
      </c>
      <c r="T1206" s="5">
        <f t="shared" si="401"/>
        <v>15794</v>
      </c>
      <c r="U1206" s="5">
        <f t="shared" si="402"/>
        <v>0</v>
      </c>
    </row>
    <row r="1207" spans="2:21">
      <c r="B1207" s="12">
        <v>366</v>
      </c>
      <c r="C1207" t="s">
        <v>304</v>
      </c>
      <c r="G1207">
        <v>1994</v>
      </c>
      <c r="H1207">
        <v>8</v>
      </c>
      <c r="I1207">
        <v>0</v>
      </c>
      <c r="J1207" t="s">
        <v>30</v>
      </c>
      <c r="K1207" s="45">
        <v>7</v>
      </c>
      <c r="L1207">
        <f t="shared" si="394"/>
        <v>2001</v>
      </c>
      <c r="M1207" s="15">
        <f t="shared" si="395"/>
        <v>2001.6666666666667</v>
      </c>
      <c r="N1207" s="5">
        <v>17591</v>
      </c>
      <c r="O1207" s="5">
        <f t="shared" si="396"/>
        <v>17591</v>
      </c>
      <c r="P1207" s="5">
        <f t="shared" si="397"/>
        <v>209.41666666666666</v>
      </c>
      <c r="Q1207" s="5">
        <f t="shared" si="398"/>
        <v>2513</v>
      </c>
      <c r="R1207" s="5">
        <f t="shared" si="399"/>
        <v>0</v>
      </c>
      <c r="S1207" s="5">
        <f t="shared" si="400"/>
        <v>17591</v>
      </c>
      <c r="T1207" s="5">
        <f t="shared" si="401"/>
        <v>17591</v>
      </c>
      <c r="U1207" s="5">
        <f t="shared" si="402"/>
        <v>0</v>
      </c>
    </row>
    <row r="1208" spans="2:21">
      <c r="B1208" s="12">
        <v>396</v>
      </c>
      <c r="C1208" t="s">
        <v>300</v>
      </c>
      <c r="G1208">
        <v>1995</v>
      </c>
      <c r="H1208">
        <v>4</v>
      </c>
      <c r="I1208">
        <v>0</v>
      </c>
      <c r="J1208" t="s">
        <v>30</v>
      </c>
      <c r="K1208" s="45">
        <v>7</v>
      </c>
      <c r="L1208">
        <f t="shared" si="394"/>
        <v>2002</v>
      </c>
      <c r="M1208" s="15">
        <f t="shared" si="395"/>
        <v>2002.3333333333333</v>
      </c>
      <c r="N1208" s="5">
        <v>19022</v>
      </c>
      <c r="O1208" s="5">
        <f t="shared" si="396"/>
        <v>19022</v>
      </c>
      <c r="P1208" s="5">
        <f t="shared" si="397"/>
        <v>226.45238095238096</v>
      </c>
      <c r="Q1208" s="5">
        <f t="shared" si="398"/>
        <v>2717.4285714285716</v>
      </c>
      <c r="R1208" s="5">
        <f t="shared" si="399"/>
        <v>0</v>
      </c>
      <c r="S1208" s="5">
        <f t="shared" si="400"/>
        <v>19022</v>
      </c>
      <c r="T1208" s="5">
        <f t="shared" si="401"/>
        <v>19022</v>
      </c>
      <c r="U1208" s="5">
        <f t="shared" si="402"/>
        <v>0</v>
      </c>
    </row>
    <row r="1209" spans="2:21">
      <c r="B1209" s="12">
        <v>360</v>
      </c>
      <c r="C1209" t="s">
        <v>299</v>
      </c>
      <c r="G1209">
        <v>1995</v>
      </c>
      <c r="H1209">
        <v>6</v>
      </c>
      <c r="I1209">
        <v>0</v>
      </c>
      <c r="J1209" t="s">
        <v>30</v>
      </c>
      <c r="K1209" s="45">
        <v>7</v>
      </c>
      <c r="L1209">
        <f t="shared" si="394"/>
        <v>2002</v>
      </c>
      <c r="M1209" s="15">
        <f t="shared" si="395"/>
        <v>2002.5</v>
      </c>
      <c r="N1209" s="5">
        <v>20141</v>
      </c>
      <c r="O1209" s="5">
        <f t="shared" si="396"/>
        <v>20141</v>
      </c>
      <c r="P1209" s="5">
        <f t="shared" si="397"/>
        <v>239.77380952380952</v>
      </c>
      <c r="Q1209" s="5">
        <f t="shared" si="398"/>
        <v>2877.2857142857142</v>
      </c>
      <c r="R1209" s="5">
        <f t="shared" si="399"/>
        <v>0</v>
      </c>
      <c r="S1209" s="5">
        <f t="shared" si="400"/>
        <v>20141</v>
      </c>
      <c r="T1209" s="5">
        <f t="shared" si="401"/>
        <v>20141</v>
      </c>
      <c r="U1209" s="5">
        <f t="shared" si="402"/>
        <v>0</v>
      </c>
    </row>
    <row r="1210" spans="2:21">
      <c r="B1210" s="12">
        <v>403</v>
      </c>
      <c r="C1210" t="s">
        <v>307</v>
      </c>
      <c r="G1210">
        <v>1995</v>
      </c>
      <c r="H1210">
        <v>12</v>
      </c>
      <c r="I1210">
        <v>0</v>
      </c>
      <c r="J1210" t="s">
        <v>30</v>
      </c>
      <c r="K1210" s="45">
        <v>7</v>
      </c>
      <c r="L1210">
        <f t="shared" si="394"/>
        <v>2002</v>
      </c>
      <c r="M1210" s="15">
        <f t="shared" si="395"/>
        <v>2003</v>
      </c>
      <c r="N1210" s="5">
        <v>19325</v>
      </c>
      <c r="O1210" s="5">
        <f t="shared" si="396"/>
        <v>19325</v>
      </c>
      <c r="P1210" s="5">
        <f t="shared" si="397"/>
        <v>230.05952380952382</v>
      </c>
      <c r="Q1210" s="5">
        <f t="shared" si="398"/>
        <v>2760.7142857142858</v>
      </c>
      <c r="R1210" s="5">
        <f t="shared" si="399"/>
        <v>0</v>
      </c>
      <c r="S1210" s="5">
        <f t="shared" si="400"/>
        <v>19325</v>
      </c>
      <c r="T1210" s="5">
        <f t="shared" si="401"/>
        <v>19325</v>
      </c>
      <c r="U1210" s="5">
        <f t="shared" si="402"/>
        <v>0</v>
      </c>
    </row>
    <row r="1211" spans="2:21">
      <c r="B1211" s="12">
        <v>384</v>
      </c>
      <c r="C1211" t="s">
        <v>149</v>
      </c>
      <c r="G1211">
        <v>1996</v>
      </c>
      <c r="H1211">
        <v>5</v>
      </c>
      <c r="I1211">
        <v>0</v>
      </c>
      <c r="J1211" t="s">
        <v>30</v>
      </c>
      <c r="K1211" s="45">
        <v>7</v>
      </c>
      <c r="L1211">
        <f t="shared" si="394"/>
        <v>2003</v>
      </c>
      <c r="M1211" s="15">
        <f t="shared" si="395"/>
        <v>2003.4166666666667</v>
      </c>
      <c r="N1211" s="5">
        <v>19944</v>
      </c>
      <c r="O1211" s="5">
        <f t="shared" si="396"/>
        <v>19944</v>
      </c>
      <c r="P1211" s="5">
        <f t="shared" si="397"/>
        <v>237.42857142857144</v>
      </c>
      <c r="Q1211" s="5">
        <f t="shared" si="398"/>
        <v>2849.1428571428573</v>
      </c>
      <c r="R1211" s="5">
        <f t="shared" si="399"/>
        <v>0</v>
      </c>
      <c r="S1211" s="5">
        <f t="shared" si="400"/>
        <v>19944</v>
      </c>
      <c r="T1211" s="5">
        <f t="shared" si="401"/>
        <v>19944</v>
      </c>
      <c r="U1211" s="5">
        <f t="shared" si="402"/>
        <v>0</v>
      </c>
    </row>
    <row r="1212" spans="2:21">
      <c r="B1212" s="12">
        <v>384</v>
      </c>
      <c r="C1212" t="s">
        <v>149</v>
      </c>
      <c r="G1212">
        <v>1996</v>
      </c>
      <c r="H1212">
        <v>6</v>
      </c>
      <c r="I1212">
        <v>0</v>
      </c>
      <c r="J1212" t="s">
        <v>30</v>
      </c>
      <c r="K1212" s="45">
        <v>7</v>
      </c>
      <c r="L1212">
        <f t="shared" si="394"/>
        <v>2003</v>
      </c>
      <c r="M1212" s="15">
        <f t="shared" si="395"/>
        <v>2003.5</v>
      </c>
      <c r="N1212" s="5">
        <v>20095</v>
      </c>
      <c r="O1212" s="5">
        <f t="shared" si="396"/>
        <v>20095</v>
      </c>
      <c r="P1212" s="5">
        <f t="shared" si="397"/>
        <v>239.22619047619048</v>
      </c>
      <c r="Q1212" s="5">
        <f t="shared" si="398"/>
        <v>2870.7142857142858</v>
      </c>
      <c r="R1212" s="5">
        <f t="shared" si="399"/>
        <v>0</v>
      </c>
      <c r="S1212" s="5">
        <f t="shared" si="400"/>
        <v>20095</v>
      </c>
      <c r="T1212" s="5">
        <f t="shared" si="401"/>
        <v>20095</v>
      </c>
      <c r="U1212" s="5">
        <f t="shared" si="402"/>
        <v>0</v>
      </c>
    </row>
    <row r="1213" spans="2:21">
      <c r="B1213" s="12">
        <v>384</v>
      </c>
      <c r="C1213" t="s">
        <v>149</v>
      </c>
      <c r="G1213">
        <v>1996</v>
      </c>
      <c r="H1213">
        <v>6</v>
      </c>
      <c r="I1213">
        <v>0</v>
      </c>
      <c r="J1213" t="s">
        <v>30</v>
      </c>
      <c r="K1213" s="45">
        <v>7</v>
      </c>
      <c r="L1213">
        <f t="shared" si="394"/>
        <v>2003</v>
      </c>
      <c r="M1213" s="15">
        <f t="shared" si="395"/>
        <v>2003.5</v>
      </c>
      <c r="N1213" s="5">
        <v>20114</v>
      </c>
      <c r="O1213" s="5">
        <f t="shared" si="396"/>
        <v>20114</v>
      </c>
      <c r="P1213" s="5">
        <f t="shared" si="397"/>
        <v>239.45238095238096</v>
      </c>
      <c r="Q1213" s="5">
        <f t="shared" si="398"/>
        <v>2873.4285714285716</v>
      </c>
      <c r="R1213" s="5">
        <f t="shared" si="399"/>
        <v>0</v>
      </c>
      <c r="S1213" s="5">
        <f t="shared" si="400"/>
        <v>20114</v>
      </c>
      <c r="T1213" s="5">
        <f t="shared" si="401"/>
        <v>20114</v>
      </c>
      <c r="U1213" s="5">
        <f t="shared" si="402"/>
        <v>0</v>
      </c>
    </row>
    <row r="1214" spans="2:21">
      <c r="B1214" s="12">
        <v>363</v>
      </c>
      <c r="C1214" t="s">
        <v>307</v>
      </c>
      <c r="G1214">
        <v>1996</v>
      </c>
      <c r="H1214">
        <v>6</v>
      </c>
      <c r="I1214">
        <v>0</v>
      </c>
      <c r="J1214" t="s">
        <v>30</v>
      </c>
      <c r="K1214" s="45">
        <v>7</v>
      </c>
      <c r="L1214">
        <f t="shared" si="394"/>
        <v>2003</v>
      </c>
      <c r="M1214" s="15">
        <f t="shared" si="395"/>
        <v>2003.5</v>
      </c>
      <c r="N1214" s="5">
        <v>17446</v>
      </c>
      <c r="O1214" s="5">
        <f t="shared" si="396"/>
        <v>17446</v>
      </c>
      <c r="P1214" s="5">
        <f t="shared" si="397"/>
        <v>207.69047619047618</v>
      </c>
      <c r="Q1214" s="5">
        <f t="shared" si="398"/>
        <v>2492.2857142857142</v>
      </c>
      <c r="R1214" s="5">
        <f t="shared" si="399"/>
        <v>0</v>
      </c>
      <c r="S1214" s="5">
        <f t="shared" si="400"/>
        <v>17446</v>
      </c>
      <c r="T1214" s="5">
        <f t="shared" si="401"/>
        <v>17446</v>
      </c>
      <c r="U1214" s="5">
        <f t="shared" si="402"/>
        <v>0</v>
      </c>
    </row>
    <row r="1215" spans="2:21">
      <c r="B1215" s="12">
        <v>400</v>
      </c>
      <c r="C1215" t="s">
        <v>148</v>
      </c>
      <c r="G1215">
        <v>1996</v>
      </c>
      <c r="H1215">
        <v>7</v>
      </c>
      <c r="I1215">
        <v>0</v>
      </c>
      <c r="J1215" t="s">
        <v>30</v>
      </c>
      <c r="K1215" s="45">
        <v>7</v>
      </c>
      <c r="L1215">
        <f t="shared" si="394"/>
        <v>2003</v>
      </c>
      <c r="M1215" s="15">
        <f t="shared" si="395"/>
        <v>2003.5833333333333</v>
      </c>
      <c r="N1215" s="5">
        <v>20659</v>
      </c>
      <c r="O1215" s="5">
        <f t="shared" si="396"/>
        <v>20659</v>
      </c>
      <c r="P1215" s="5">
        <f t="shared" si="397"/>
        <v>245.94047619047618</v>
      </c>
      <c r="Q1215" s="5">
        <f t="shared" si="398"/>
        <v>2951.2857142857142</v>
      </c>
      <c r="R1215" s="5">
        <f t="shared" si="399"/>
        <v>0</v>
      </c>
      <c r="S1215" s="5">
        <f t="shared" si="400"/>
        <v>20659</v>
      </c>
      <c r="T1215" s="5">
        <f t="shared" si="401"/>
        <v>20659</v>
      </c>
      <c r="U1215" s="5">
        <f t="shared" si="402"/>
        <v>0</v>
      </c>
    </row>
    <row r="1216" spans="2:21">
      <c r="B1216" s="12">
        <v>425</v>
      </c>
      <c r="C1216" t="s">
        <v>307</v>
      </c>
      <c r="G1216">
        <v>1996</v>
      </c>
      <c r="H1216">
        <v>7</v>
      </c>
      <c r="I1216">
        <v>0</v>
      </c>
      <c r="J1216" t="s">
        <v>30</v>
      </c>
      <c r="K1216" s="45">
        <v>7</v>
      </c>
      <c r="L1216">
        <f t="shared" si="394"/>
        <v>2003</v>
      </c>
      <c r="M1216" s="15">
        <f t="shared" si="395"/>
        <v>2003.5833333333333</v>
      </c>
      <c r="N1216" s="5">
        <v>20417</v>
      </c>
      <c r="O1216" s="5">
        <f t="shared" si="396"/>
        <v>20417</v>
      </c>
      <c r="P1216" s="5">
        <f t="shared" si="397"/>
        <v>243.05952380952382</v>
      </c>
      <c r="Q1216" s="5">
        <f t="shared" si="398"/>
        <v>2916.7142857142858</v>
      </c>
      <c r="R1216" s="5">
        <f t="shared" si="399"/>
        <v>0</v>
      </c>
      <c r="S1216" s="5">
        <f t="shared" si="400"/>
        <v>20417</v>
      </c>
      <c r="T1216" s="5">
        <f t="shared" si="401"/>
        <v>20417</v>
      </c>
      <c r="U1216" s="5">
        <f t="shared" si="402"/>
        <v>0</v>
      </c>
    </row>
    <row r="1217" spans="2:21">
      <c r="B1217" s="12">
        <v>384</v>
      </c>
      <c r="C1217" t="s">
        <v>305</v>
      </c>
      <c r="G1217">
        <v>1996</v>
      </c>
      <c r="H1217">
        <v>10</v>
      </c>
      <c r="I1217">
        <v>0</v>
      </c>
      <c r="J1217" t="s">
        <v>30</v>
      </c>
      <c r="K1217" s="45">
        <v>7</v>
      </c>
      <c r="L1217">
        <f t="shared" si="394"/>
        <v>2003</v>
      </c>
      <c r="M1217" s="15">
        <f t="shared" si="395"/>
        <v>2003.8333333333333</v>
      </c>
      <c r="N1217" s="5">
        <v>19699</v>
      </c>
      <c r="O1217" s="5">
        <f t="shared" si="396"/>
        <v>19699</v>
      </c>
      <c r="P1217" s="5">
        <f t="shared" si="397"/>
        <v>234.51190476190479</v>
      </c>
      <c r="Q1217" s="5">
        <f t="shared" si="398"/>
        <v>2814.1428571428573</v>
      </c>
      <c r="R1217" s="5">
        <f t="shared" si="399"/>
        <v>0</v>
      </c>
      <c r="S1217" s="5">
        <f t="shared" si="400"/>
        <v>19699</v>
      </c>
      <c r="T1217" s="5">
        <f t="shared" si="401"/>
        <v>19699</v>
      </c>
      <c r="U1217" s="5">
        <f t="shared" si="402"/>
        <v>0</v>
      </c>
    </row>
    <row r="1218" spans="2:21">
      <c r="B1218" s="12">
        <v>430</v>
      </c>
      <c r="C1218" t="s">
        <v>311</v>
      </c>
      <c r="G1218">
        <v>1996</v>
      </c>
      <c r="H1218">
        <v>10</v>
      </c>
      <c r="I1218">
        <v>0</v>
      </c>
      <c r="J1218" t="s">
        <v>30</v>
      </c>
      <c r="K1218" s="45">
        <v>7</v>
      </c>
      <c r="L1218">
        <f t="shared" si="394"/>
        <v>2003</v>
      </c>
      <c r="M1218" s="15">
        <f t="shared" si="395"/>
        <v>2003.8333333333333</v>
      </c>
      <c r="N1218" s="5">
        <v>20632</v>
      </c>
      <c r="O1218" s="5">
        <f t="shared" si="396"/>
        <v>20632</v>
      </c>
      <c r="P1218" s="5">
        <f t="shared" si="397"/>
        <v>245.61904761904762</v>
      </c>
      <c r="Q1218" s="5">
        <f t="shared" si="398"/>
        <v>2947.4285714285716</v>
      </c>
      <c r="R1218" s="5">
        <f t="shared" si="399"/>
        <v>0</v>
      </c>
      <c r="S1218" s="5">
        <f t="shared" si="400"/>
        <v>20632</v>
      </c>
      <c r="T1218" s="5">
        <f t="shared" si="401"/>
        <v>20632</v>
      </c>
      <c r="U1218" s="5">
        <f t="shared" si="402"/>
        <v>0</v>
      </c>
    </row>
    <row r="1219" spans="2:21">
      <c r="B1219" s="12">
        <v>380</v>
      </c>
      <c r="C1219" t="s">
        <v>294</v>
      </c>
      <c r="G1219">
        <v>1997</v>
      </c>
      <c r="H1219">
        <v>5</v>
      </c>
      <c r="I1219">
        <v>0</v>
      </c>
      <c r="J1219" t="s">
        <v>30</v>
      </c>
      <c r="K1219" s="45">
        <v>7</v>
      </c>
      <c r="L1219">
        <f t="shared" si="394"/>
        <v>2004</v>
      </c>
      <c r="M1219" s="15">
        <f t="shared" si="395"/>
        <v>2004.4166666666667</v>
      </c>
      <c r="N1219" s="5">
        <v>18905</v>
      </c>
      <c r="O1219" s="5">
        <f t="shared" si="396"/>
        <v>18905</v>
      </c>
      <c r="P1219" s="5">
        <f t="shared" si="397"/>
        <v>225.05952380952382</v>
      </c>
      <c r="Q1219" s="5">
        <f t="shared" si="398"/>
        <v>2700.7142857142858</v>
      </c>
      <c r="R1219" s="5">
        <f t="shared" si="399"/>
        <v>0</v>
      </c>
      <c r="S1219" s="5">
        <f t="shared" si="400"/>
        <v>18905</v>
      </c>
      <c r="T1219" s="5">
        <f t="shared" si="401"/>
        <v>18905</v>
      </c>
      <c r="U1219" s="5">
        <f t="shared" si="402"/>
        <v>0</v>
      </c>
    </row>
    <row r="1220" spans="2:21">
      <c r="B1220" s="12">
        <v>394</v>
      </c>
      <c r="C1220" t="s">
        <v>308</v>
      </c>
      <c r="G1220">
        <v>1997</v>
      </c>
      <c r="H1220">
        <v>5</v>
      </c>
      <c r="I1220">
        <v>0</v>
      </c>
      <c r="J1220" t="s">
        <v>30</v>
      </c>
      <c r="K1220" s="45">
        <v>7</v>
      </c>
      <c r="L1220">
        <f t="shared" si="394"/>
        <v>2004</v>
      </c>
      <c r="M1220" s="15">
        <f t="shared" si="395"/>
        <v>2004.4166666666667</v>
      </c>
      <c r="N1220" s="5">
        <v>18905</v>
      </c>
      <c r="O1220" s="5">
        <f t="shared" si="396"/>
        <v>18905</v>
      </c>
      <c r="P1220" s="5">
        <f t="shared" si="397"/>
        <v>225.05952380952382</v>
      </c>
      <c r="Q1220" s="5">
        <f t="shared" si="398"/>
        <v>2700.7142857142858</v>
      </c>
      <c r="R1220" s="5">
        <f t="shared" si="399"/>
        <v>0</v>
      </c>
      <c r="S1220" s="5">
        <f t="shared" si="400"/>
        <v>18905</v>
      </c>
      <c r="T1220" s="5">
        <f t="shared" si="401"/>
        <v>18905</v>
      </c>
      <c r="U1220" s="5">
        <f t="shared" si="402"/>
        <v>0</v>
      </c>
    </row>
    <row r="1221" spans="2:21">
      <c r="B1221" s="12">
        <v>199</v>
      </c>
      <c r="C1221" t="s">
        <v>293</v>
      </c>
      <c r="G1221">
        <v>1997</v>
      </c>
      <c r="H1221">
        <v>6</v>
      </c>
      <c r="I1221">
        <v>0</v>
      </c>
      <c r="J1221" t="s">
        <v>30</v>
      </c>
      <c r="K1221" s="45">
        <v>7</v>
      </c>
      <c r="L1221">
        <f t="shared" si="394"/>
        <v>2004</v>
      </c>
      <c r="M1221" s="15">
        <f t="shared" si="395"/>
        <v>2004.5</v>
      </c>
      <c r="N1221" s="5">
        <v>9550</v>
      </c>
      <c r="O1221" s="5">
        <f t="shared" si="396"/>
        <v>9550</v>
      </c>
      <c r="P1221" s="5">
        <f t="shared" si="397"/>
        <v>113.69047619047619</v>
      </c>
      <c r="Q1221" s="5">
        <f t="shared" si="398"/>
        <v>1364.2857142857142</v>
      </c>
      <c r="R1221" s="5">
        <f t="shared" si="399"/>
        <v>0</v>
      </c>
      <c r="S1221" s="5">
        <f t="shared" si="400"/>
        <v>9550</v>
      </c>
      <c r="T1221" s="5">
        <f t="shared" si="401"/>
        <v>9550</v>
      </c>
      <c r="U1221" s="5">
        <f t="shared" si="402"/>
        <v>0</v>
      </c>
    </row>
    <row r="1222" spans="2:21">
      <c r="B1222" s="12">
        <v>216</v>
      </c>
      <c r="C1222" t="s">
        <v>295</v>
      </c>
      <c r="G1222">
        <v>1997</v>
      </c>
      <c r="H1222">
        <v>6</v>
      </c>
      <c r="I1222">
        <v>0</v>
      </c>
      <c r="J1222" t="s">
        <v>30</v>
      </c>
      <c r="K1222" s="45">
        <v>7</v>
      </c>
      <c r="L1222">
        <f t="shared" si="394"/>
        <v>2004</v>
      </c>
      <c r="M1222" s="15">
        <f t="shared" si="395"/>
        <v>2004.5</v>
      </c>
      <c r="N1222" s="5">
        <v>11122</v>
      </c>
      <c r="O1222" s="5">
        <f t="shared" si="396"/>
        <v>11122</v>
      </c>
      <c r="P1222" s="5">
        <f t="shared" si="397"/>
        <v>132.4047619047619</v>
      </c>
      <c r="Q1222" s="5">
        <f t="shared" si="398"/>
        <v>1588.8571428571427</v>
      </c>
      <c r="R1222" s="5">
        <f t="shared" si="399"/>
        <v>0</v>
      </c>
      <c r="S1222" s="5">
        <f t="shared" si="400"/>
        <v>11122</v>
      </c>
      <c r="T1222" s="5">
        <f t="shared" si="401"/>
        <v>11122</v>
      </c>
      <c r="U1222" s="5">
        <f t="shared" si="402"/>
        <v>0</v>
      </c>
    </row>
    <row r="1223" spans="2:21">
      <c r="B1223" s="12">
        <v>232</v>
      </c>
      <c r="C1223" t="s">
        <v>297</v>
      </c>
      <c r="G1223">
        <v>1997</v>
      </c>
      <c r="H1223">
        <v>6</v>
      </c>
      <c r="I1223">
        <v>0</v>
      </c>
      <c r="J1223" t="s">
        <v>30</v>
      </c>
      <c r="K1223" s="45">
        <v>7</v>
      </c>
      <c r="L1223">
        <f t="shared" si="394"/>
        <v>2004</v>
      </c>
      <c r="M1223" s="15">
        <f t="shared" si="395"/>
        <v>2004.5</v>
      </c>
      <c r="N1223" s="5">
        <v>11122</v>
      </c>
      <c r="O1223" s="5">
        <f t="shared" si="396"/>
        <v>11122</v>
      </c>
      <c r="P1223" s="5">
        <f t="shared" si="397"/>
        <v>132.4047619047619</v>
      </c>
      <c r="Q1223" s="5">
        <f t="shared" si="398"/>
        <v>1588.8571428571427</v>
      </c>
      <c r="R1223" s="5">
        <f t="shared" si="399"/>
        <v>0</v>
      </c>
      <c r="S1223" s="5">
        <f t="shared" si="400"/>
        <v>11122</v>
      </c>
      <c r="T1223" s="5">
        <f t="shared" si="401"/>
        <v>11122</v>
      </c>
      <c r="U1223" s="5">
        <f t="shared" si="402"/>
        <v>0</v>
      </c>
    </row>
    <row r="1224" spans="2:21">
      <c r="B1224" s="12">
        <v>432</v>
      </c>
      <c r="C1224" t="s">
        <v>306</v>
      </c>
      <c r="G1224">
        <v>1997</v>
      </c>
      <c r="H1224">
        <v>7</v>
      </c>
      <c r="I1224">
        <v>0</v>
      </c>
      <c r="J1224" t="s">
        <v>30</v>
      </c>
      <c r="K1224" s="45">
        <v>7</v>
      </c>
      <c r="L1224">
        <f t="shared" si="394"/>
        <v>2004</v>
      </c>
      <c r="M1224" s="15">
        <f t="shared" si="395"/>
        <v>2004.5833333333333</v>
      </c>
      <c r="N1224" s="5">
        <v>22244</v>
      </c>
      <c r="O1224" s="5">
        <f t="shared" si="396"/>
        <v>22244</v>
      </c>
      <c r="P1224" s="5">
        <f t="shared" si="397"/>
        <v>264.8095238095238</v>
      </c>
      <c r="Q1224" s="5">
        <f t="shared" si="398"/>
        <v>3177.7142857142853</v>
      </c>
      <c r="R1224" s="5">
        <f t="shared" si="399"/>
        <v>0</v>
      </c>
      <c r="S1224" s="5">
        <f t="shared" si="400"/>
        <v>22244</v>
      </c>
      <c r="T1224" s="5">
        <f t="shared" si="401"/>
        <v>22244</v>
      </c>
      <c r="U1224" s="5">
        <f t="shared" si="402"/>
        <v>0</v>
      </c>
    </row>
    <row r="1225" spans="2:21">
      <c r="B1225" s="12">
        <v>180</v>
      </c>
      <c r="C1225" t="s">
        <v>305</v>
      </c>
      <c r="G1225">
        <v>1998</v>
      </c>
      <c r="H1225">
        <v>3</v>
      </c>
      <c r="I1225">
        <v>0</v>
      </c>
      <c r="J1225" t="s">
        <v>30</v>
      </c>
      <c r="K1225" s="45">
        <v>7</v>
      </c>
      <c r="L1225">
        <f t="shared" si="394"/>
        <v>2005</v>
      </c>
      <c r="M1225" s="15">
        <f t="shared" si="395"/>
        <v>2005.25</v>
      </c>
      <c r="N1225" s="5">
        <v>8955</v>
      </c>
      <c r="O1225" s="5">
        <f t="shared" si="396"/>
        <v>8955</v>
      </c>
      <c r="P1225" s="5">
        <f t="shared" si="397"/>
        <v>106.60714285714285</v>
      </c>
      <c r="Q1225" s="5">
        <f t="shared" si="398"/>
        <v>1279.2857142857142</v>
      </c>
      <c r="R1225" s="5">
        <f t="shared" si="399"/>
        <v>0</v>
      </c>
      <c r="S1225" s="5">
        <f t="shared" si="400"/>
        <v>8955</v>
      </c>
      <c r="T1225" s="5">
        <f t="shared" si="401"/>
        <v>8955</v>
      </c>
      <c r="U1225" s="5">
        <f t="shared" si="402"/>
        <v>0</v>
      </c>
    </row>
    <row r="1226" spans="2:21">
      <c r="B1226" s="12">
        <v>432</v>
      </c>
      <c r="C1226" t="s">
        <v>305</v>
      </c>
      <c r="G1226">
        <v>1998</v>
      </c>
      <c r="H1226">
        <v>4</v>
      </c>
      <c r="I1226">
        <v>0</v>
      </c>
      <c r="J1226" t="s">
        <v>30</v>
      </c>
      <c r="K1226" s="45">
        <v>7</v>
      </c>
      <c r="L1226">
        <f t="shared" si="394"/>
        <v>2005</v>
      </c>
      <c r="M1226" s="15">
        <f t="shared" si="395"/>
        <v>2005.3333333333333</v>
      </c>
      <c r="N1226" s="5">
        <v>22243.68</v>
      </c>
      <c r="O1226" s="5">
        <f t="shared" si="396"/>
        <v>22243.68</v>
      </c>
      <c r="P1226" s="5">
        <f t="shared" si="397"/>
        <v>264.80571428571426</v>
      </c>
      <c r="Q1226" s="5">
        <f t="shared" si="398"/>
        <v>3177.6685714285713</v>
      </c>
      <c r="R1226" s="5">
        <f t="shared" si="399"/>
        <v>0</v>
      </c>
      <c r="S1226" s="5">
        <f t="shared" si="400"/>
        <v>22243.68</v>
      </c>
      <c r="T1226" s="5">
        <f t="shared" si="401"/>
        <v>22243.68</v>
      </c>
      <c r="U1226" s="5">
        <f t="shared" si="402"/>
        <v>0</v>
      </c>
    </row>
    <row r="1227" spans="2:21">
      <c r="B1227" s="12">
        <v>432</v>
      </c>
      <c r="C1227" t="s">
        <v>292</v>
      </c>
      <c r="G1227">
        <v>1998</v>
      </c>
      <c r="H1227">
        <v>5</v>
      </c>
      <c r="I1227">
        <v>0</v>
      </c>
      <c r="J1227" t="s">
        <v>30</v>
      </c>
      <c r="K1227" s="45">
        <v>7</v>
      </c>
      <c r="L1227">
        <f t="shared" si="394"/>
        <v>2005</v>
      </c>
      <c r="M1227" s="15">
        <f t="shared" si="395"/>
        <v>2005.4166666666667</v>
      </c>
      <c r="N1227" s="5">
        <v>22243.68</v>
      </c>
      <c r="O1227" s="5">
        <f t="shared" si="396"/>
        <v>22243.68</v>
      </c>
      <c r="P1227" s="5">
        <f t="shared" si="397"/>
        <v>264.80571428571426</v>
      </c>
      <c r="Q1227" s="5">
        <f t="shared" si="398"/>
        <v>3177.6685714285713</v>
      </c>
      <c r="R1227" s="5">
        <f t="shared" si="399"/>
        <v>0</v>
      </c>
      <c r="S1227" s="5">
        <f t="shared" si="400"/>
        <v>22243.68</v>
      </c>
      <c r="T1227" s="5">
        <f t="shared" si="401"/>
        <v>22243.68</v>
      </c>
      <c r="U1227" s="5">
        <f t="shared" si="402"/>
        <v>0</v>
      </c>
    </row>
    <row r="1228" spans="2:21">
      <c r="B1228" s="12">
        <v>432</v>
      </c>
      <c r="C1228" t="s">
        <v>296</v>
      </c>
      <c r="G1228">
        <v>1998</v>
      </c>
      <c r="H1228">
        <v>7</v>
      </c>
      <c r="I1228">
        <v>0</v>
      </c>
      <c r="J1228" t="s">
        <v>30</v>
      </c>
      <c r="K1228" s="45">
        <v>7</v>
      </c>
      <c r="L1228">
        <f t="shared" si="394"/>
        <v>2005</v>
      </c>
      <c r="M1228" s="15">
        <f t="shared" si="395"/>
        <v>2005.5833333333333</v>
      </c>
      <c r="N1228" s="5">
        <v>22243.68</v>
      </c>
      <c r="O1228" s="5">
        <f t="shared" si="396"/>
        <v>22243.68</v>
      </c>
      <c r="P1228" s="5">
        <f t="shared" si="397"/>
        <v>264.80571428571426</v>
      </c>
      <c r="Q1228" s="5">
        <f t="shared" si="398"/>
        <v>3177.6685714285713</v>
      </c>
      <c r="R1228" s="5">
        <f t="shared" si="399"/>
        <v>0</v>
      </c>
      <c r="S1228" s="5">
        <f t="shared" si="400"/>
        <v>22243.68</v>
      </c>
      <c r="T1228" s="5">
        <f t="shared" si="401"/>
        <v>22243.68</v>
      </c>
      <c r="U1228" s="5">
        <f t="shared" si="402"/>
        <v>0</v>
      </c>
    </row>
    <row r="1229" spans="2:21">
      <c r="B1229" s="12">
        <v>463</v>
      </c>
      <c r="C1229" t="s">
        <v>310</v>
      </c>
      <c r="G1229">
        <v>1999</v>
      </c>
      <c r="H1229">
        <v>8</v>
      </c>
      <c r="I1229">
        <v>0</v>
      </c>
      <c r="J1229" t="s">
        <v>30</v>
      </c>
      <c r="K1229" s="45">
        <v>7</v>
      </c>
      <c r="L1229">
        <f t="shared" si="394"/>
        <v>2006</v>
      </c>
      <c r="M1229" s="15">
        <f t="shared" si="395"/>
        <v>2006.6666666666667</v>
      </c>
      <c r="N1229" s="5">
        <v>22243.68</v>
      </c>
      <c r="O1229" s="5">
        <f t="shared" si="396"/>
        <v>22243.68</v>
      </c>
      <c r="P1229" s="5">
        <f t="shared" si="397"/>
        <v>264.80571428571426</v>
      </c>
      <c r="Q1229" s="5">
        <f t="shared" si="398"/>
        <v>3177.6685714285713</v>
      </c>
      <c r="R1229" s="5">
        <f t="shared" si="399"/>
        <v>0</v>
      </c>
      <c r="S1229" s="5">
        <f t="shared" si="400"/>
        <v>22243.68</v>
      </c>
      <c r="T1229" s="5">
        <f t="shared" si="401"/>
        <v>22243.68</v>
      </c>
      <c r="U1229" s="5">
        <f t="shared" si="402"/>
        <v>0</v>
      </c>
    </row>
    <row r="1230" spans="2:21">
      <c r="B1230" s="12">
        <v>463</v>
      </c>
      <c r="C1230" t="s">
        <v>154</v>
      </c>
      <c r="G1230">
        <v>2000</v>
      </c>
      <c r="H1230">
        <v>3</v>
      </c>
      <c r="I1230">
        <v>0</v>
      </c>
      <c r="J1230" t="s">
        <v>30</v>
      </c>
      <c r="K1230" s="45">
        <v>7</v>
      </c>
      <c r="L1230">
        <f t="shared" si="394"/>
        <v>2007</v>
      </c>
      <c r="M1230" s="15">
        <f t="shared" si="395"/>
        <v>2007.25</v>
      </c>
      <c r="N1230" s="5">
        <v>22243.68</v>
      </c>
      <c r="O1230" s="5">
        <f t="shared" si="396"/>
        <v>22243.68</v>
      </c>
      <c r="P1230" s="5">
        <f t="shared" si="397"/>
        <v>264.80571428571426</v>
      </c>
      <c r="Q1230" s="5">
        <f t="shared" si="398"/>
        <v>3177.6685714285713</v>
      </c>
      <c r="R1230" s="5">
        <f t="shared" si="399"/>
        <v>0</v>
      </c>
      <c r="S1230" s="5">
        <f t="shared" si="400"/>
        <v>22243.68</v>
      </c>
      <c r="T1230" s="5">
        <f t="shared" si="401"/>
        <v>22243.68</v>
      </c>
      <c r="U1230" s="5">
        <f t="shared" si="402"/>
        <v>0</v>
      </c>
    </row>
    <row r="1231" spans="2:21">
      <c r="B1231" s="12">
        <v>463</v>
      </c>
      <c r="C1231" t="s">
        <v>154</v>
      </c>
      <c r="G1231">
        <v>2000</v>
      </c>
      <c r="H1231">
        <v>3</v>
      </c>
      <c r="I1231">
        <v>0</v>
      </c>
      <c r="J1231" t="s">
        <v>30</v>
      </c>
      <c r="K1231" s="45">
        <v>7</v>
      </c>
      <c r="L1231">
        <f t="shared" si="394"/>
        <v>2007</v>
      </c>
      <c r="M1231" s="15">
        <f t="shared" si="395"/>
        <v>2007.25</v>
      </c>
      <c r="N1231" s="5">
        <v>22243.68</v>
      </c>
      <c r="O1231" s="5">
        <f t="shared" si="396"/>
        <v>22243.68</v>
      </c>
      <c r="P1231" s="5">
        <f t="shared" si="397"/>
        <v>264.80571428571426</v>
      </c>
      <c r="Q1231" s="5">
        <f t="shared" si="398"/>
        <v>3177.6685714285713</v>
      </c>
      <c r="R1231" s="5">
        <f t="shared" si="399"/>
        <v>0</v>
      </c>
      <c r="S1231" s="5">
        <f t="shared" si="400"/>
        <v>22243.68</v>
      </c>
      <c r="T1231" s="5">
        <f t="shared" si="401"/>
        <v>22243.68</v>
      </c>
      <c r="U1231" s="5">
        <f t="shared" si="402"/>
        <v>0</v>
      </c>
    </row>
    <row r="1232" spans="2:21">
      <c r="B1232" s="12">
        <v>324</v>
      </c>
      <c r="C1232" t="s">
        <v>154</v>
      </c>
      <c r="G1232">
        <v>2000</v>
      </c>
      <c r="H1232">
        <v>11</v>
      </c>
      <c r="I1232">
        <v>0</v>
      </c>
      <c r="J1232" t="s">
        <v>30</v>
      </c>
      <c r="K1232" s="45">
        <v>7</v>
      </c>
      <c r="L1232">
        <f t="shared" si="394"/>
        <v>2007</v>
      </c>
      <c r="M1232" s="15">
        <f t="shared" si="395"/>
        <v>2007.9166666666667</v>
      </c>
      <c r="N1232" s="5">
        <v>15537.6</v>
      </c>
      <c r="O1232" s="5">
        <f t="shared" si="396"/>
        <v>15537.6</v>
      </c>
      <c r="P1232" s="5">
        <f t="shared" si="397"/>
        <v>184.97142857142856</v>
      </c>
      <c r="Q1232" s="5">
        <f t="shared" si="398"/>
        <v>2219.6571428571428</v>
      </c>
      <c r="R1232" s="5">
        <f t="shared" si="399"/>
        <v>0</v>
      </c>
      <c r="S1232" s="5">
        <f t="shared" si="400"/>
        <v>15537.6</v>
      </c>
      <c r="T1232" s="5">
        <f t="shared" si="401"/>
        <v>15537.6</v>
      </c>
      <c r="U1232" s="5">
        <f t="shared" si="402"/>
        <v>0</v>
      </c>
    </row>
    <row r="1233" spans="2:21">
      <c r="B1233" s="12">
        <v>324</v>
      </c>
      <c r="C1233" t="s">
        <v>153</v>
      </c>
      <c r="G1233">
        <v>2001</v>
      </c>
      <c r="H1233">
        <v>3</v>
      </c>
      <c r="I1233">
        <v>0</v>
      </c>
      <c r="J1233" t="s">
        <v>30</v>
      </c>
      <c r="K1233" s="45">
        <v>7</v>
      </c>
      <c r="L1233">
        <f t="shared" si="394"/>
        <v>2008</v>
      </c>
      <c r="M1233" s="15">
        <f t="shared" si="395"/>
        <v>2008.25</v>
      </c>
      <c r="N1233" s="5">
        <v>15553.14</v>
      </c>
      <c r="O1233" s="5">
        <f t="shared" si="396"/>
        <v>15553.14</v>
      </c>
      <c r="P1233" s="5">
        <f t="shared" si="397"/>
        <v>185.15642857142856</v>
      </c>
      <c r="Q1233" s="5">
        <f t="shared" si="398"/>
        <v>2221.8771428571426</v>
      </c>
      <c r="R1233" s="5">
        <f t="shared" si="399"/>
        <v>0</v>
      </c>
      <c r="S1233" s="5">
        <f t="shared" si="400"/>
        <v>15553.14</v>
      </c>
      <c r="T1233" s="5">
        <f t="shared" si="401"/>
        <v>15553.14</v>
      </c>
      <c r="U1233" s="5">
        <f t="shared" si="402"/>
        <v>0</v>
      </c>
    </row>
    <row r="1234" spans="2:21">
      <c r="B1234" s="12">
        <v>405</v>
      </c>
      <c r="C1234" t="s">
        <v>154</v>
      </c>
      <c r="G1234">
        <v>2001</v>
      </c>
      <c r="H1234">
        <v>3</v>
      </c>
      <c r="I1234">
        <v>0</v>
      </c>
      <c r="J1234" t="s">
        <v>30</v>
      </c>
      <c r="K1234" s="45">
        <v>7</v>
      </c>
      <c r="L1234">
        <f t="shared" si="394"/>
        <v>2008</v>
      </c>
      <c r="M1234" s="15">
        <f t="shared" si="395"/>
        <v>2008.25</v>
      </c>
      <c r="N1234" s="5">
        <v>19451.88</v>
      </c>
      <c r="O1234" s="5">
        <f t="shared" si="396"/>
        <v>19451.88</v>
      </c>
      <c r="P1234" s="5">
        <f t="shared" si="397"/>
        <v>231.57000000000002</v>
      </c>
      <c r="Q1234" s="5">
        <f t="shared" si="398"/>
        <v>2778.84</v>
      </c>
      <c r="R1234" s="5">
        <f t="shared" si="399"/>
        <v>0</v>
      </c>
      <c r="S1234" s="5">
        <f t="shared" si="400"/>
        <v>19451.88</v>
      </c>
      <c r="T1234" s="5">
        <f t="shared" si="401"/>
        <v>19451.88</v>
      </c>
      <c r="U1234" s="5">
        <f t="shared" si="402"/>
        <v>0</v>
      </c>
    </row>
    <row r="1235" spans="2:21">
      <c r="B1235" s="12">
        <v>324</v>
      </c>
      <c r="C1235" t="s">
        <v>154</v>
      </c>
      <c r="G1235">
        <v>2001</v>
      </c>
      <c r="H1235">
        <v>3</v>
      </c>
      <c r="I1235">
        <v>0</v>
      </c>
      <c r="J1235" t="s">
        <v>30</v>
      </c>
      <c r="K1235" s="45">
        <v>7</v>
      </c>
      <c r="L1235">
        <f t="shared" si="394"/>
        <v>2008</v>
      </c>
      <c r="M1235" s="15">
        <f t="shared" si="395"/>
        <v>2008.25</v>
      </c>
      <c r="N1235" s="5">
        <v>15553.14</v>
      </c>
      <c r="O1235" s="5">
        <f t="shared" si="396"/>
        <v>15553.14</v>
      </c>
      <c r="P1235" s="5">
        <f t="shared" si="397"/>
        <v>185.15642857142856</v>
      </c>
      <c r="Q1235" s="5">
        <f t="shared" si="398"/>
        <v>2221.8771428571426</v>
      </c>
      <c r="R1235" s="5">
        <f t="shared" si="399"/>
        <v>0</v>
      </c>
      <c r="S1235" s="5">
        <f t="shared" si="400"/>
        <v>15553.14</v>
      </c>
      <c r="T1235" s="5">
        <f t="shared" si="401"/>
        <v>15553.14</v>
      </c>
      <c r="U1235" s="5">
        <f t="shared" si="402"/>
        <v>0</v>
      </c>
    </row>
    <row r="1237" spans="2:21">
      <c r="B1237">
        <f>SUM(B1204:B1236)</f>
        <v>11821</v>
      </c>
      <c r="C1237" t="s">
        <v>1182</v>
      </c>
    </row>
    <row r="1239" spans="2:21">
      <c r="B1239" s="12">
        <v>143</v>
      </c>
      <c r="C1239" t="s">
        <v>309</v>
      </c>
      <c r="G1239">
        <v>1997</v>
      </c>
      <c r="H1239">
        <v>1</v>
      </c>
      <c r="I1239">
        <v>0</v>
      </c>
      <c r="J1239" t="s">
        <v>30</v>
      </c>
      <c r="K1239" s="45">
        <v>7</v>
      </c>
      <c r="L1239">
        <f t="shared" ref="L1239:L1248" si="403">G1239+K1239</f>
        <v>2004</v>
      </c>
      <c r="M1239" s="15">
        <f t="shared" ref="M1239:M1248" si="404">+L1239+(H1239/12)</f>
        <v>2004.0833333333333</v>
      </c>
      <c r="N1239" s="5">
        <v>6840</v>
      </c>
      <c r="O1239" s="5">
        <f t="shared" ref="O1239:O1248" si="405">N1239-N1239*I1239</f>
        <v>6840</v>
      </c>
      <c r="P1239" s="5">
        <f t="shared" ref="P1239:P1248" si="406">O1239/K1239/12</f>
        <v>81.428571428571431</v>
      </c>
      <c r="Q1239" s="5">
        <f t="shared" ref="Q1239:Q1248" si="407">P1239*12</f>
        <v>977.14285714285711</v>
      </c>
      <c r="R1239" s="5">
        <f t="shared" ref="R1239:R1248" si="408">+IF(M1239&lt;=$O$5,0,IF(L1239&gt;$O$4,Q1239,(P1239*H1239)))</f>
        <v>0</v>
      </c>
      <c r="S1239" s="5">
        <f t="shared" ref="S1239:S1248" si="409">+IF(R1239=0,N1239,IF($O$3-G1239&lt;1,0,(($O$3-G1239)*Q1239)))</f>
        <v>6840</v>
      </c>
      <c r="T1239" s="5">
        <f t="shared" ref="T1239:T1248" si="410">+IF(R1239=0,S1239,S1239+R1239)</f>
        <v>6840</v>
      </c>
      <c r="U1239" s="5">
        <f t="shared" ref="U1239:U1248" si="411">+N1239-T1239</f>
        <v>0</v>
      </c>
    </row>
    <row r="1240" spans="2:21">
      <c r="B1240" s="12">
        <v>137</v>
      </c>
      <c r="C1240" t="s">
        <v>158</v>
      </c>
      <c r="G1240">
        <v>2004</v>
      </c>
      <c r="H1240">
        <v>7</v>
      </c>
      <c r="I1240">
        <v>0</v>
      </c>
      <c r="J1240" t="s">
        <v>30</v>
      </c>
      <c r="K1240" s="45">
        <v>7</v>
      </c>
      <c r="L1240">
        <f t="shared" si="403"/>
        <v>2011</v>
      </c>
      <c r="M1240" s="15">
        <f t="shared" si="404"/>
        <v>2011.5833333333333</v>
      </c>
      <c r="N1240" s="5">
        <v>6558.2</v>
      </c>
      <c r="O1240" s="5">
        <f t="shared" si="405"/>
        <v>6558.2</v>
      </c>
      <c r="P1240" s="5">
        <f t="shared" si="406"/>
        <v>78.073809523809516</v>
      </c>
      <c r="Q1240" s="5">
        <f t="shared" si="407"/>
        <v>936.88571428571413</v>
      </c>
      <c r="R1240" s="5">
        <f t="shared" si="408"/>
        <v>0</v>
      </c>
      <c r="S1240" s="5">
        <f t="shared" si="409"/>
        <v>6558.2</v>
      </c>
      <c r="T1240" s="5">
        <f t="shared" si="410"/>
        <v>6558.2</v>
      </c>
      <c r="U1240" s="5">
        <f t="shared" si="411"/>
        <v>0</v>
      </c>
    </row>
    <row r="1241" spans="2:21">
      <c r="B1241" s="12">
        <v>513</v>
      </c>
      <c r="C1241" t="s">
        <v>298</v>
      </c>
      <c r="G1241">
        <v>2006</v>
      </c>
      <c r="H1241">
        <v>9</v>
      </c>
      <c r="I1241">
        <v>0</v>
      </c>
      <c r="J1241" t="s">
        <v>30</v>
      </c>
      <c r="K1241" s="45">
        <v>7</v>
      </c>
      <c r="L1241">
        <f t="shared" si="403"/>
        <v>2013</v>
      </c>
      <c r="M1241" s="15">
        <f t="shared" si="404"/>
        <v>2013.75</v>
      </c>
      <c r="N1241" s="5">
        <v>24639.17</v>
      </c>
      <c r="O1241" s="5">
        <f t="shared" si="405"/>
        <v>24639.17</v>
      </c>
      <c r="P1241" s="5">
        <f t="shared" si="406"/>
        <v>293.32345238095235</v>
      </c>
      <c r="Q1241" s="5">
        <f t="shared" si="407"/>
        <v>3519.8814285714279</v>
      </c>
      <c r="R1241" s="5">
        <f t="shared" si="408"/>
        <v>0</v>
      </c>
      <c r="S1241" s="5">
        <f t="shared" si="409"/>
        <v>24639.17</v>
      </c>
      <c r="T1241" s="5">
        <f t="shared" si="410"/>
        <v>24639.17</v>
      </c>
      <c r="U1241" s="5">
        <f t="shared" si="411"/>
        <v>0</v>
      </c>
    </row>
    <row r="1242" spans="2:21">
      <c r="B1242" s="12">
        <v>1122</v>
      </c>
      <c r="C1242" t="s">
        <v>302</v>
      </c>
      <c r="G1242">
        <v>2007</v>
      </c>
      <c r="H1242">
        <v>2</v>
      </c>
      <c r="I1242">
        <v>0</v>
      </c>
      <c r="J1242" t="s">
        <v>30</v>
      </c>
      <c r="K1242" s="45">
        <v>7</v>
      </c>
      <c r="L1242">
        <f t="shared" si="403"/>
        <v>2014</v>
      </c>
      <c r="M1242" s="15">
        <f t="shared" si="404"/>
        <v>2014.1666666666667</v>
      </c>
      <c r="N1242" s="5">
        <v>53853.83</v>
      </c>
      <c r="O1242" s="5">
        <f t="shared" si="405"/>
        <v>53853.83</v>
      </c>
      <c r="P1242" s="5">
        <f t="shared" si="406"/>
        <v>641.11702380952386</v>
      </c>
      <c r="Q1242" s="5">
        <f t="shared" si="407"/>
        <v>7693.4042857142867</v>
      </c>
      <c r="R1242" s="5">
        <f t="shared" si="408"/>
        <v>0</v>
      </c>
      <c r="S1242" s="5">
        <f t="shared" si="409"/>
        <v>53853.83</v>
      </c>
      <c r="T1242" s="5">
        <f t="shared" si="410"/>
        <v>53853.83</v>
      </c>
      <c r="U1242" s="5">
        <f t="shared" si="411"/>
        <v>0</v>
      </c>
    </row>
    <row r="1243" spans="2:21">
      <c r="B1243" s="12">
        <v>590</v>
      </c>
      <c r="C1243" t="s">
        <v>159</v>
      </c>
      <c r="G1243">
        <v>2007</v>
      </c>
      <c r="H1243">
        <v>7</v>
      </c>
      <c r="I1243">
        <v>0</v>
      </c>
      <c r="J1243" t="s">
        <v>30</v>
      </c>
      <c r="K1243" s="45">
        <v>7</v>
      </c>
      <c r="L1243">
        <f t="shared" si="403"/>
        <v>2014</v>
      </c>
      <c r="M1243" s="15">
        <f t="shared" si="404"/>
        <v>2014.5833333333333</v>
      </c>
      <c r="N1243" s="5">
        <v>28302.19</v>
      </c>
      <c r="O1243" s="5">
        <f t="shared" si="405"/>
        <v>28302.19</v>
      </c>
      <c r="P1243" s="5">
        <f t="shared" si="406"/>
        <v>336.93083333333328</v>
      </c>
      <c r="Q1243" s="5">
        <f t="shared" si="407"/>
        <v>4043.1699999999992</v>
      </c>
      <c r="R1243" s="5">
        <f t="shared" si="408"/>
        <v>0</v>
      </c>
      <c r="S1243" s="5">
        <f t="shared" si="409"/>
        <v>28302.19</v>
      </c>
      <c r="T1243" s="5">
        <f t="shared" si="410"/>
        <v>28302.19</v>
      </c>
      <c r="U1243" s="5">
        <f t="shared" si="411"/>
        <v>0</v>
      </c>
    </row>
    <row r="1244" spans="2:21">
      <c r="B1244" s="12">
        <v>583</v>
      </c>
      <c r="C1244" t="s">
        <v>159</v>
      </c>
      <c r="G1244">
        <v>2007</v>
      </c>
      <c r="H1244">
        <v>7</v>
      </c>
      <c r="I1244">
        <v>0</v>
      </c>
      <c r="J1244" t="s">
        <v>30</v>
      </c>
      <c r="K1244" s="45">
        <v>7</v>
      </c>
      <c r="L1244">
        <f t="shared" si="403"/>
        <v>2014</v>
      </c>
      <c r="M1244" s="15">
        <f t="shared" si="404"/>
        <v>2014.5833333333333</v>
      </c>
      <c r="N1244" s="5">
        <v>27973.89</v>
      </c>
      <c r="O1244" s="5">
        <f t="shared" si="405"/>
        <v>27973.89</v>
      </c>
      <c r="P1244" s="5">
        <f t="shared" si="406"/>
        <v>333.02249999999998</v>
      </c>
      <c r="Q1244" s="5">
        <f t="shared" si="407"/>
        <v>3996.2699999999995</v>
      </c>
      <c r="R1244" s="5">
        <f t="shared" si="408"/>
        <v>0</v>
      </c>
      <c r="S1244" s="5">
        <f t="shared" si="409"/>
        <v>27973.89</v>
      </c>
      <c r="T1244" s="5">
        <f t="shared" si="410"/>
        <v>27973.89</v>
      </c>
      <c r="U1244" s="5">
        <f t="shared" si="411"/>
        <v>0</v>
      </c>
    </row>
    <row r="1245" spans="2:21">
      <c r="B1245" s="12">
        <v>595</v>
      </c>
      <c r="C1245" t="s">
        <v>302</v>
      </c>
      <c r="G1245">
        <v>2007</v>
      </c>
      <c r="H1245">
        <v>11</v>
      </c>
      <c r="I1245">
        <v>0</v>
      </c>
      <c r="J1245" t="s">
        <v>30</v>
      </c>
      <c r="K1245" s="45">
        <v>7</v>
      </c>
      <c r="L1245">
        <f t="shared" si="403"/>
        <v>2014</v>
      </c>
      <c r="M1245" s="15">
        <f t="shared" si="404"/>
        <v>2014.9166666666667</v>
      </c>
      <c r="N1245" s="5">
        <v>28545</v>
      </c>
      <c r="O1245" s="5">
        <f t="shared" si="405"/>
        <v>28545</v>
      </c>
      <c r="P1245" s="5">
        <f t="shared" si="406"/>
        <v>339.82142857142856</v>
      </c>
      <c r="Q1245" s="5">
        <f t="shared" si="407"/>
        <v>4077.8571428571427</v>
      </c>
      <c r="R1245" s="5">
        <f t="shared" si="408"/>
        <v>0</v>
      </c>
      <c r="S1245" s="5">
        <f t="shared" si="409"/>
        <v>28545</v>
      </c>
      <c r="T1245" s="5">
        <f t="shared" si="410"/>
        <v>28545</v>
      </c>
      <c r="U1245" s="5">
        <f t="shared" si="411"/>
        <v>0</v>
      </c>
    </row>
    <row r="1246" spans="2:21">
      <c r="B1246" s="12">
        <v>608</v>
      </c>
      <c r="C1246" t="s">
        <v>151</v>
      </c>
      <c r="G1246">
        <v>2007</v>
      </c>
      <c r="H1246">
        <v>12</v>
      </c>
      <c r="I1246">
        <v>0</v>
      </c>
      <c r="J1246" t="s">
        <v>30</v>
      </c>
      <c r="K1246" s="45">
        <v>7</v>
      </c>
      <c r="L1246">
        <f t="shared" si="403"/>
        <v>2014</v>
      </c>
      <c r="M1246" s="15">
        <f t="shared" si="404"/>
        <v>2015</v>
      </c>
      <c r="N1246" s="5">
        <v>29185.34</v>
      </c>
      <c r="O1246" s="5">
        <f t="shared" si="405"/>
        <v>29185.34</v>
      </c>
      <c r="P1246" s="5">
        <f t="shared" si="406"/>
        <v>347.44452380952384</v>
      </c>
      <c r="Q1246" s="5">
        <f t="shared" si="407"/>
        <v>4169.3342857142861</v>
      </c>
      <c r="R1246" s="5">
        <f t="shared" si="408"/>
        <v>0</v>
      </c>
      <c r="S1246" s="5">
        <f t="shared" si="409"/>
        <v>29185.34</v>
      </c>
      <c r="T1246" s="5">
        <f t="shared" si="410"/>
        <v>29185.34</v>
      </c>
      <c r="U1246" s="5">
        <f t="shared" si="411"/>
        <v>0</v>
      </c>
    </row>
    <row r="1247" spans="2:21">
      <c r="B1247" s="12">
        <v>579</v>
      </c>
      <c r="C1247" t="s">
        <v>156</v>
      </c>
      <c r="G1247">
        <v>2008</v>
      </c>
      <c r="H1247">
        <v>1</v>
      </c>
      <c r="I1247">
        <v>0</v>
      </c>
      <c r="J1247" t="s">
        <v>30</v>
      </c>
      <c r="K1247" s="45">
        <v>7</v>
      </c>
      <c r="L1247">
        <f t="shared" si="403"/>
        <v>2015</v>
      </c>
      <c r="M1247" s="15">
        <f t="shared" si="404"/>
        <v>2015.0833333333333</v>
      </c>
      <c r="N1247" s="5">
        <v>27797.08</v>
      </c>
      <c r="O1247" s="5">
        <f t="shared" si="405"/>
        <v>27797.08</v>
      </c>
      <c r="P1247" s="5">
        <f t="shared" si="406"/>
        <v>330.9176190476191</v>
      </c>
      <c r="Q1247" s="5">
        <f t="shared" si="407"/>
        <v>3971.011428571429</v>
      </c>
      <c r="R1247" s="5">
        <f t="shared" si="408"/>
        <v>0</v>
      </c>
      <c r="S1247" s="5">
        <f t="shared" si="409"/>
        <v>27797.08</v>
      </c>
      <c r="T1247" s="5">
        <f t="shared" si="410"/>
        <v>27797.08</v>
      </c>
      <c r="U1247" s="5">
        <f t="shared" si="411"/>
        <v>0</v>
      </c>
    </row>
    <row r="1248" spans="2:21">
      <c r="B1248" s="12">
        <v>5422</v>
      </c>
      <c r="C1248" t="s">
        <v>156</v>
      </c>
      <c r="G1248">
        <v>2005</v>
      </c>
      <c r="H1248">
        <v>11</v>
      </c>
      <c r="I1248">
        <v>0</v>
      </c>
      <c r="J1248" t="s">
        <v>30</v>
      </c>
      <c r="K1248" s="45">
        <v>7</v>
      </c>
      <c r="L1248">
        <f t="shared" si="403"/>
        <v>2012</v>
      </c>
      <c r="M1248" s="15">
        <f t="shared" si="404"/>
        <v>2012.9166666666667</v>
      </c>
      <c r="N1248" s="5">
        <v>260266.71</v>
      </c>
      <c r="O1248" s="5">
        <f t="shared" si="405"/>
        <v>260266.71</v>
      </c>
      <c r="P1248" s="5">
        <f t="shared" si="406"/>
        <v>3098.4132142857143</v>
      </c>
      <c r="Q1248" s="5">
        <f t="shared" si="407"/>
        <v>37180.958571428571</v>
      </c>
      <c r="R1248" s="5">
        <f t="shared" si="408"/>
        <v>0</v>
      </c>
      <c r="S1248" s="5">
        <f t="shared" si="409"/>
        <v>260266.71</v>
      </c>
      <c r="T1248" s="5">
        <f t="shared" si="410"/>
        <v>260266.71</v>
      </c>
      <c r="U1248" s="5">
        <f t="shared" si="411"/>
        <v>0</v>
      </c>
    </row>
    <row r="1250" spans="2:21">
      <c r="B1250">
        <f>SUM(B1239:B1249)</f>
        <v>10292</v>
      </c>
      <c r="C1250" s="13" t="s">
        <v>1184</v>
      </c>
    </row>
    <row r="1251" spans="2:21" ht="15.75" thickBot="1"/>
    <row r="1252" spans="2:21" ht="15.75" thickBot="1">
      <c r="B1252" s="19">
        <f>+B1250+B1237+B1202</f>
        <v>35280</v>
      </c>
      <c r="C1252" s="20" t="s">
        <v>1185</v>
      </c>
      <c r="D1252" s="21"/>
    </row>
    <row r="1255" spans="2:21">
      <c r="B1255" s="12">
        <v>5000</v>
      </c>
      <c r="C1255" t="s">
        <v>128</v>
      </c>
      <c r="G1255">
        <v>1995</v>
      </c>
      <c r="H1255">
        <v>6</v>
      </c>
      <c r="I1255">
        <v>0</v>
      </c>
      <c r="J1255" t="s">
        <v>30</v>
      </c>
      <c r="K1255" s="45">
        <v>7</v>
      </c>
      <c r="L1255">
        <f t="shared" ref="L1255:L1262" si="412">G1255+K1255</f>
        <v>2002</v>
      </c>
      <c r="M1255" s="15">
        <f t="shared" ref="M1255:M1262" si="413">+L1255+(H1255/12)</f>
        <v>2002.5</v>
      </c>
      <c r="N1255" s="5">
        <v>22354</v>
      </c>
      <c r="O1255" s="5">
        <f t="shared" ref="O1255:O1262" si="414">N1255-N1255*I1255</f>
        <v>22354</v>
      </c>
      <c r="P1255" s="5">
        <f t="shared" ref="P1255:P1262" si="415">O1255/K1255/12</f>
        <v>266.11904761904765</v>
      </c>
      <c r="Q1255" s="5">
        <f t="shared" ref="Q1255:Q1262" si="416">P1255*12</f>
        <v>3193.4285714285716</v>
      </c>
      <c r="R1255" s="5">
        <f t="shared" ref="R1255:R1262" si="417">+IF(M1255&lt;=$O$5,0,IF(L1255&gt;$O$4,Q1255,(P1255*H1255)))</f>
        <v>0</v>
      </c>
      <c r="S1255" s="5">
        <f t="shared" ref="S1255:S1262" si="418">+IF(R1255=0,N1255,IF($O$3-G1255&lt;1,0,(($O$3-G1255)*Q1255)))</f>
        <v>22354</v>
      </c>
      <c r="T1255" s="5">
        <f t="shared" ref="T1255:T1262" si="419">+IF(R1255=0,S1255,S1255+R1255)</f>
        <v>22354</v>
      </c>
      <c r="U1255" s="5">
        <f t="shared" ref="U1255:U1262" si="420">+N1255-T1255</f>
        <v>0</v>
      </c>
    </row>
    <row r="1256" spans="2:21">
      <c r="B1256" s="12">
        <v>16</v>
      </c>
      <c r="C1256" t="s">
        <v>129</v>
      </c>
      <c r="G1256">
        <v>1995</v>
      </c>
      <c r="H1256">
        <v>12</v>
      </c>
      <c r="I1256">
        <v>0</v>
      </c>
      <c r="J1256" t="s">
        <v>30</v>
      </c>
      <c r="K1256" s="45">
        <v>7</v>
      </c>
      <c r="L1256">
        <f t="shared" si="412"/>
        <v>2002</v>
      </c>
      <c r="M1256" s="15">
        <f t="shared" si="413"/>
        <v>2003</v>
      </c>
      <c r="N1256" s="5">
        <v>7106</v>
      </c>
      <c r="O1256" s="5">
        <f t="shared" si="414"/>
        <v>7106</v>
      </c>
      <c r="P1256" s="5">
        <f t="shared" si="415"/>
        <v>84.595238095238088</v>
      </c>
      <c r="Q1256" s="5">
        <f t="shared" si="416"/>
        <v>1015.1428571428571</v>
      </c>
      <c r="R1256" s="5">
        <f t="shared" si="417"/>
        <v>0</v>
      </c>
      <c r="S1256" s="5">
        <f t="shared" si="418"/>
        <v>7106</v>
      </c>
      <c r="T1256" s="5">
        <f t="shared" si="419"/>
        <v>7106</v>
      </c>
      <c r="U1256" s="5">
        <f t="shared" si="420"/>
        <v>0</v>
      </c>
    </row>
    <row r="1257" spans="2:21">
      <c r="B1257" s="12">
        <v>5000</v>
      </c>
      <c r="C1257" t="s">
        <v>130</v>
      </c>
      <c r="G1257">
        <v>1996</v>
      </c>
      <c r="H1257">
        <v>7</v>
      </c>
      <c r="I1257">
        <v>0</v>
      </c>
      <c r="J1257" t="s">
        <v>30</v>
      </c>
      <c r="K1257" s="45">
        <v>7</v>
      </c>
      <c r="L1257">
        <f t="shared" si="412"/>
        <v>2003</v>
      </c>
      <c r="M1257" s="15">
        <f t="shared" si="413"/>
        <v>2003.5833333333333</v>
      </c>
      <c r="N1257" s="5">
        <v>22335</v>
      </c>
      <c r="O1257" s="5">
        <f t="shared" si="414"/>
        <v>22335</v>
      </c>
      <c r="P1257" s="5">
        <f t="shared" si="415"/>
        <v>265.89285714285717</v>
      </c>
      <c r="Q1257" s="5">
        <f t="shared" si="416"/>
        <v>3190.7142857142862</v>
      </c>
      <c r="R1257" s="5">
        <f t="shared" si="417"/>
        <v>0</v>
      </c>
      <c r="S1257" s="5">
        <f t="shared" si="418"/>
        <v>22335</v>
      </c>
      <c r="T1257" s="5">
        <f t="shared" si="419"/>
        <v>22335</v>
      </c>
      <c r="U1257" s="5">
        <f t="shared" si="420"/>
        <v>0</v>
      </c>
    </row>
    <row r="1258" spans="2:21">
      <c r="B1258" s="12">
        <v>0</v>
      </c>
      <c r="C1258" t="s">
        <v>318</v>
      </c>
      <c r="G1258">
        <v>2005</v>
      </c>
      <c r="H1258">
        <v>4</v>
      </c>
      <c r="I1258">
        <v>0</v>
      </c>
      <c r="J1258" t="s">
        <v>30</v>
      </c>
      <c r="K1258" s="45">
        <v>7</v>
      </c>
      <c r="L1258">
        <f t="shared" si="412"/>
        <v>2012</v>
      </c>
      <c r="M1258" s="15">
        <f t="shared" si="413"/>
        <v>2012.3333333333333</v>
      </c>
      <c r="N1258" s="5">
        <v>61232.65</v>
      </c>
      <c r="O1258" s="5">
        <f t="shared" si="414"/>
        <v>61232.65</v>
      </c>
      <c r="P1258" s="5">
        <f t="shared" si="415"/>
        <v>728.96011904761906</v>
      </c>
      <c r="Q1258" s="5">
        <f t="shared" si="416"/>
        <v>8747.5214285714283</v>
      </c>
      <c r="R1258" s="5">
        <f t="shared" si="417"/>
        <v>0</v>
      </c>
      <c r="S1258" s="5">
        <f t="shared" si="418"/>
        <v>61232.65</v>
      </c>
      <c r="T1258" s="5">
        <f t="shared" si="419"/>
        <v>61232.65</v>
      </c>
      <c r="U1258" s="5">
        <f t="shared" si="420"/>
        <v>0</v>
      </c>
    </row>
    <row r="1259" spans="2:21">
      <c r="B1259" s="12">
        <v>0</v>
      </c>
      <c r="C1259" t="s">
        <v>162</v>
      </c>
      <c r="G1259">
        <v>2005</v>
      </c>
      <c r="H1259">
        <v>5</v>
      </c>
      <c r="I1259">
        <v>0</v>
      </c>
      <c r="J1259" t="s">
        <v>30</v>
      </c>
      <c r="K1259" s="45">
        <v>7</v>
      </c>
      <c r="L1259">
        <f t="shared" si="412"/>
        <v>2012</v>
      </c>
      <c r="M1259" s="15">
        <f t="shared" si="413"/>
        <v>2012.4166666666667</v>
      </c>
      <c r="N1259" s="5">
        <v>6083.82</v>
      </c>
      <c r="O1259" s="5">
        <f t="shared" si="414"/>
        <v>6083.82</v>
      </c>
      <c r="P1259" s="5">
        <f t="shared" si="415"/>
        <v>72.426428571428559</v>
      </c>
      <c r="Q1259" s="5">
        <f t="shared" si="416"/>
        <v>869.11714285714265</v>
      </c>
      <c r="R1259" s="5">
        <f t="shared" si="417"/>
        <v>0</v>
      </c>
      <c r="S1259" s="5">
        <f t="shared" si="418"/>
        <v>6083.82</v>
      </c>
      <c r="T1259" s="5">
        <f t="shared" si="419"/>
        <v>6083.82</v>
      </c>
      <c r="U1259" s="5">
        <f t="shared" si="420"/>
        <v>0</v>
      </c>
    </row>
    <row r="1260" spans="2:21">
      <c r="B1260" s="12">
        <v>0</v>
      </c>
      <c r="C1260" t="s">
        <v>163</v>
      </c>
      <c r="G1260">
        <v>2005</v>
      </c>
      <c r="H1260">
        <v>5</v>
      </c>
      <c r="I1260">
        <v>0</v>
      </c>
      <c r="J1260" t="s">
        <v>30</v>
      </c>
      <c r="K1260" s="45">
        <v>7</v>
      </c>
      <c r="L1260">
        <f t="shared" si="412"/>
        <v>2012</v>
      </c>
      <c r="M1260" s="15">
        <f t="shared" si="413"/>
        <v>2012.4166666666667</v>
      </c>
      <c r="N1260" s="5">
        <v>24627.69</v>
      </c>
      <c r="O1260" s="5">
        <f t="shared" si="414"/>
        <v>24627.69</v>
      </c>
      <c r="P1260" s="5">
        <f t="shared" si="415"/>
        <v>293.18678571428569</v>
      </c>
      <c r="Q1260" s="5">
        <f t="shared" si="416"/>
        <v>3518.2414285714285</v>
      </c>
      <c r="R1260" s="5">
        <f t="shared" si="417"/>
        <v>0</v>
      </c>
      <c r="S1260" s="5">
        <f t="shared" si="418"/>
        <v>24627.69</v>
      </c>
      <c r="T1260" s="5">
        <f t="shared" si="419"/>
        <v>24627.69</v>
      </c>
      <c r="U1260" s="5">
        <f t="shared" si="420"/>
        <v>0</v>
      </c>
    </row>
    <row r="1261" spans="2:21">
      <c r="B1261">
        <v>750</v>
      </c>
      <c r="C1261" t="s">
        <v>143</v>
      </c>
      <c r="G1261">
        <v>2004</v>
      </c>
      <c r="H1261">
        <v>8</v>
      </c>
      <c r="I1261">
        <v>0</v>
      </c>
      <c r="J1261" t="s">
        <v>30</v>
      </c>
      <c r="K1261" s="45">
        <v>7</v>
      </c>
      <c r="L1261">
        <f t="shared" si="412"/>
        <v>2011</v>
      </c>
      <c r="M1261" s="15">
        <f t="shared" si="413"/>
        <v>2011.6666666666667</v>
      </c>
      <c r="N1261" s="5">
        <v>15325.07</v>
      </c>
      <c r="O1261" s="5">
        <f t="shared" si="414"/>
        <v>15325.07</v>
      </c>
      <c r="P1261" s="5">
        <f t="shared" si="415"/>
        <v>182.44130952380954</v>
      </c>
      <c r="Q1261" s="5">
        <f t="shared" si="416"/>
        <v>2189.2957142857144</v>
      </c>
      <c r="R1261" s="5">
        <f t="shared" si="417"/>
        <v>0</v>
      </c>
      <c r="S1261" s="5">
        <f t="shared" si="418"/>
        <v>15325.07</v>
      </c>
      <c r="T1261" s="5">
        <f t="shared" si="419"/>
        <v>15325.07</v>
      </c>
      <c r="U1261" s="5">
        <f t="shared" si="420"/>
        <v>0</v>
      </c>
    </row>
    <row r="1262" spans="2:21">
      <c r="B1262" s="12">
        <v>0</v>
      </c>
      <c r="C1262" t="s">
        <v>329</v>
      </c>
      <c r="G1262">
        <v>2007</v>
      </c>
      <c r="H1262">
        <v>3</v>
      </c>
      <c r="I1262">
        <v>0</v>
      </c>
      <c r="J1262" t="s">
        <v>30</v>
      </c>
      <c r="K1262" s="45">
        <v>7</v>
      </c>
      <c r="L1262">
        <f t="shared" si="412"/>
        <v>2014</v>
      </c>
      <c r="M1262" s="15">
        <f t="shared" si="413"/>
        <v>2014.25</v>
      </c>
      <c r="N1262" s="5">
        <v>2457.9</v>
      </c>
      <c r="O1262" s="5">
        <f t="shared" si="414"/>
        <v>2457.9</v>
      </c>
      <c r="P1262" s="5">
        <f t="shared" si="415"/>
        <v>29.260714285714286</v>
      </c>
      <c r="Q1262" s="5">
        <f t="shared" si="416"/>
        <v>351.12857142857143</v>
      </c>
      <c r="R1262" s="5">
        <f t="shared" si="417"/>
        <v>0</v>
      </c>
      <c r="S1262" s="5">
        <f t="shared" si="418"/>
        <v>2457.9</v>
      </c>
      <c r="T1262" s="5">
        <f t="shared" si="419"/>
        <v>2457.9</v>
      </c>
      <c r="U1262" s="5">
        <f t="shared" si="420"/>
        <v>0</v>
      </c>
    </row>
    <row r="1264" spans="2:21">
      <c r="B1264">
        <f>SUM(B1255:B1263)</f>
        <v>10766</v>
      </c>
      <c r="C1264" t="s">
        <v>1183</v>
      </c>
    </row>
  </sheetData>
  <sortState ref="B13:U392">
    <sortCondition ref="C13:C392"/>
    <sortCondition ref="Q13:Q392"/>
  </sortState>
  <mergeCells count="3">
    <mergeCell ref="G9:H9"/>
    <mergeCell ref="G10:H10"/>
    <mergeCell ref="A3:C3"/>
  </mergeCells>
  <phoneticPr fontId="0" type="noConversion"/>
  <pageMargins left="0.7" right="0.7" top="0.75" bottom="0.75" header="0.3" footer="0.3"/>
  <pageSetup scale="40" fitToHeight="10" orientation="landscape" r:id="rId1"/>
  <rowBreaks count="1" manualBreakCount="1">
    <brk id="236" max="20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63"/>
  <sheetViews>
    <sheetView showGridLines="0" tabSelected="1" view="pageBreakPreview" zoomScale="60" zoomScaleNormal="70" workbookViewId="0">
      <pane xSplit="1" ySplit="11" topLeftCell="B12" activePane="bottomRight" state="frozen"/>
      <selection activeCell="M53" sqref="M53"/>
      <selection pane="topRight" activeCell="M53" sqref="M53"/>
      <selection pane="bottomLeft" activeCell="M53" sqref="M53"/>
      <selection pane="bottomRight" activeCell="P20" sqref="P20"/>
    </sheetView>
  </sheetViews>
  <sheetFormatPr defaultRowHeight="15"/>
  <cols>
    <col min="1" max="1" width="9.5703125" style="47" customWidth="1"/>
    <col min="2" max="2" width="10" style="47" customWidth="1"/>
    <col min="3" max="3" width="43.5703125" style="47" customWidth="1"/>
    <col min="4" max="5" width="11.140625" style="47" customWidth="1"/>
    <col min="6" max="9" width="8.7109375" style="47" customWidth="1"/>
    <col min="10" max="10" width="12.140625" style="47" customWidth="1"/>
    <col min="11" max="11" width="8.28515625" style="47" customWidth="1"/>
    <col min="12" max="12" width="11.5703125" style="47" customWidth="1"/>
    <col min="13" max="13" width="11.5703125" style="48" customWidth="1"/>
    <col min="14" max="15" width="14.7109375" style="5" customWidth="1"/>
    <col min="16" max="16" width="10.7109375" style="5" customWidth="1"/>
    <col min="17" max="18" width="12.140625" style="5" customWidth="1"/>
    <col min="19" max="21" width="15.42578125" style="5" customWidth="1"/>
    <col min="22" max="16384" width="9.140625" style="47"/>
  </cols>
  <sheetData>
    <row r="1" spans="1:21">
      <c r="A1" s="50" t="str">
        <f>'2180 Summary'!A1</f>
        <v>Pierce County Refuse</v>
      </c>
      <c r="B1" s="50"/>
      <c r="C1" s="50"/>
      <c r="S1" s="35">
        <f>'2180 Summary'!F6</f>
        <v>43435</v>
      </c>
      <c r="T1" s="5" t="s">
        <v>5</v>
      </c>
    </row>
    <row r="2" spans="1:21">
      <c r="A2" s="50" t="s">
        <v>1148</v>
      </c>
      <c r="B2" s="50"/>
      <c r="C2" s="50"/>
      <c r="O2" s="5">
        <f>+'2180 Trucks'!O2</f>
        <v>3</v>
      </c>
      <c r="P2" s="5" t="s">
        <v>1093</v>
      </c>
      <c r="S2" s="35">
        <f>A3</f>
        <v>43799</v>
      </c>
      <c r="T2" s="5" t="s">
        <v>3</v>
      </c>
    </row>
    <row r="3" spans="1:21">
      <c r="A3" s="64">
        <f>+'2180 Summary'!A3</f>
        <v>43799</v>
      </c>
      <c r="B3" s="64"/>
      <c r="C3" s="64"/>
      <c r="O3" s="5">
        <f>+'2180 Trucks'!O3</f>
        <v>2018</v>
      </c>
      <c r="P3" s="5" t="s">
        <v>1095</v>
      </c>
    </row>
    <row r="4" spans="1:21">
      <c r="O4" s="5">
        <f>+'2180 Trucks'!O4</f>
        <v>2019</v>
      </c>
      <c r="P4" s="5" t="s">
        <v>1094</v>
      </c>
    </row>
    <row r="5" spans="1:21" ht="12.75" customHeight="1">
      <c r="O5" s="5">
        <f>+'2180 Trucks'!O5</f>
        <v>2019.25</v>
      </c>
      <c r="P5" s="5" t="s">
        <v>1040</v>
      </c>
    </row>
    <row r="6" spans="1:21" ht="12.75" customHeight="1"/>
    <row r="8" spans="1:21" s="34" customFormat="1" ht="16.5" customHeight="1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7"/>
      <c r="N8" s="78"/>
      <c r="O8" s="78"/>
      <c r="P8" s="78"/>
      <c r="Q8" s="78"/>
      <c r="R8" s="78"/>
      <c r="S8" s="78" t="s">
        <v>7</v>
      </c>
      <c r="T8" s="78" t="s">
        <v>8</v>
      </c>
      <c r="U8" s="78"/>
    </row>
    <row r="9" spans="1:21" s="34" customFormat="1" ht="16.5" customHeight="1">
      <c r="A9" s="76"/>
      <c r="B9" s="76"/>
      <c r="C9" s="76"/>
      <c r="D9" s="76"/>
      <c r="E9" s="76"/>
      <c r="F9" s="76"/>
      <c r="G9" s="79" t="s">
        <v>16</v>
      </c>
      <c r="H9" s="79"/>
      <c r="I9" s="76" t="s">
        <v>11</v>
      </c>
      <c r="J9" s="76"/>
      <c r="K9" s="76"/>
      <c r="L9" s="76" t="s">
        <v>9</v>
      </c>
      <c r="M9" s="77" t="s">
        <v>949</v>
      </c>
      <c r="N9" s="78"/>
      <c r="O9" s="78"/>
      <c r="P9" s="78"/>
      <c r="Q9" s="78"/>
      <c r="R9" s="78"/>
      <c r="S9" s="78" t="s">
        <v>19</v>
      </c>
      <c r="T9" s="78" t="s">
        <v>19</v>
      </c>
      <c r="U9" s="78"/>
    </row>
    <row r="10" spans="1:21" s="34" customFormat="1" ht="16.5" customHeight="1">
      <c r="A10" s="76"/>
      <c r="B10" s="76" t="s">
        <v>354</v>
      </c>
      <c r="C10" s="76"/>
      <c r="D10" s="76"/>
      <c r="E10" s="76"/>
      <c r="F10" s="76"/>
      <c r="G10" s="79" t="s">
        <v>23</v>
      </c>
      <c r="H10" s="79"/>
      <c r="I10" s="66" t="s">
        <v>17</v>
      </c>
      <c r="J10" s="76" t="s">
        <v>12</v>
      </c>
      <c r="K10" s="76" t="s">
        <v>13</v>
      </c>
      <c r="L10" s="76" t="s">
        <v>27</v>
      </c>
      <c r="M10" s="77" t="s">
        <v>27</v>
      </c>
      <c r="N10" s="78" t="s">
        <v>18</v>
      </c>
      <c r="O10" s="78" t="s">
        <v>14</v>
      </c>
      <c r="P10" s="78" t="s">
        <v>28</v>
      </c>
      <c r="Q10" s="78" t="s">
        <v>947</v>
      </c>
      <c r="R10" s="78" t="s">
        <v>1028</v>
      </c>
      <c r="S10" s="78" t="s">
        <v>14</v>
      </c>
      <c r="T10" s="78" t="s">
        <v>14</v>
      </c>
      <c r="U10" s="78" t="s">
        <v>20</v>
      </c>
    </row>
    <row r="11" spans="1:21" s="34" customFormat="1" ht="23.25" customHeight="1">
      <c r="A11" s="80" t="s">
        <v>21</v>
      </c>
      <c r="B11" s="80" t="s">
        <v>581</v>
      </c>
      <c r="C11" s="80" t="s">
        <v>22</v>
      </c>
      <c r="D11" s="80" t="s">
        <v>337</v>
      </c>
      <c r="E11" s="80" t="s">
        <v>369</v>
      </c>
      <c r="F11" s="80"/>
      <c r="G11" s="80" t="s">
        <v>9</v>
      </c>
      <c r="H11" s="80" t="s">
        <v>10</v>
      </c>
      <c r="I11" s="80" t="s">
        <v>24</v>
      </c>
      <c r="J11" s="80" t="s">
        <v>25</v>
      </c>
      <c r="K11" s="80" t="s">
        <v>26</v>
      </c>
      <c r="L11" s="80" t="s">
        <v>338</v>
      </c>
      <c r="M11" s="81" t="s">
        <v>338</v>
      </c>
      <c r="N11" s="82" t="s">
        <v>15</v>
      </c>
      <c r="O11" s="82" t="s">
        <v>15</v>
      </c>
      <c r="P11" s="82" t="s">
        <v>14</v>
      </c>
      <c r="Q11" s="82" t="s">
        <v>1027</v>
      </c>
      <c r="R11" s="82" t="s">
        <v>1029</v>
      </c>
      <c r="S11" s="83">
        <f>S1</f>
        <v>43435</v>
      </c>
      <c r="T11" s="83">
        <f>S2</f>
        <v>43799</v>
      </c>
      <c r="U11" s="82" t="s">
        <v>29</v>
      </c>
    </row>
    <row r="12" spans="1:21">
      <c r="B12" s="4" t="s">
        <v>362</v>
      </c>
    </row>
    <row r="13" spans="1:21">
      <c r="A13" s="47" t="s">
        <v>178</v>
      </c>
      <c r="B13" s="47">
        <v>9214</v>
      </c>
      <c r="C13" s="47" t="s">
        <v>469</v>
      </c>
      <c r="G13" s="47">
        <v>2005</v>
      </c>
      <c r="H13" s="47">
        <v>5</v>
      </c>
      <c r="I13" s="47">
        <v>0</v>
      </c>
      <c r="J13" s="47" t="s">
        <v>30</v>
      </c>
      <c r="K13" s="47">
        <v>5</v>
      </c>
      <c r="L13" s="47">
        <f t="shared" ref="L13:L36" si="0">G13+K13</f>
        <v>2010</v>
      </c>
      <c r="M13" s="48">
        <f t="shared" ref="M13:M36" si="1">+L13+(H13/12)</f>
        <v>2010.4166666666667</v>
      </c>
      <c r="N13" s="5">
        <f>'2180 Other - Orig.'!O14</f>
        <v>9777.6450000000004</v>
      </c>
      <c r="O13" s="5">
        <f t="shared" ref="O13:O36" si="2">N13-N13*I13</f>
        <v>9777.6450000000004</v>
      </c>
      <c r="P13" s="5">
        <f t="shared" ref="P13:P36" si="3">O13/K13/12</f>
        <v>162.96074999999999</v>
      </c>
      <c r="Q13" s="5">
        <f t="shared" ref="Q13:Q36" si="4">P13*12</f>
        <v>1955.529</v>
      </c>
      <c r="R13" s="5">
        <f t="shared" ref="R13:R36" si="5">+IF(M13&lt;=$O$5,0,IF(L13&gt;$O$4,Q13,(P13*H13)))</f>
        <v>0</v>
      </c>
      <c r="S13" s="5">
        <f t="shared" ref="S13:S36" si="6">+IF(R13=0,N13,IF($O$3-G13&lt;1,0,(($O$3-G13)*Q13)))</f>
        <v>9777.6450000000004</v>
      </c>
      <c r="T13" s="5">
        <f t="shared" ref="T13:T36" si="7">+IF(R13=0,S13,S13+R13)</f>
        <v>9777.6450000000004</v>
      </c>
      <c r="U13" s="5">
        <f t="shared" ref="U13:U36" si="8">+N13-T13</f>
        <v>0</v>
      </c>
    </row>
    <row r="14" spans="1:21" s="24" customFormat="1">
      <c r="C14" s="24" t="s">
        <v>1030</v>
      </c>
      <c r="G14" s="24">
        <v>2017</v>
      </c>
      <c r="H14" s="24">
        <v>9</v>
      </c>
      <c r="I14" s="24">
        <v>0</v>
      </c>
      <c r="J14" s="24" t="s">
        <v>30</v>
      </c>
      <c r="K14" s="24">
        <f>+IF(L13-$O$3&gt;=3,L13-$O$3,3)</f>
        <v>3</v>
      </c>
      <c r="L14" s="24">
        <f t="shared" si="0"/>
        <v>2020</v>
      </c>
      <c r="M14" s="28">
        <f t="shared" si="1"/>
        <v>2020.75</v>
      </c>
      <c r="N14" s="25">
        <f>'2180 Other - Orig.'!N14-N13</f>
        <v>4815.8549999999996</v>
      </c>
      <c r="O14" s="25">
        <f t="shared" si="2"/>
        <v>4815.8549999999996</v>
      </c>
      <c r="P14" s="25">
        <f t="shared" si="3"/>
        <v>133.77374999999998</v>
      </c>
      <c r="Q14" s="25">
        <f t="shared" si="4"/>
        <v>1605.2849999999999</v>
      </c>
      <c r="R14" s="25">
        <f t="shared" si="5"/>
        <v>1605.2849999999999</v>
      </c>
      <c r="S14" s="25">
        <f t="shared" si="6"/>
        <v>1605.2849999999999</v>
      </c>
      <c r="T14" s="25">
        <f t="shared" si="7"/>
        <v>3210.5699999999997</v>
      </c>
      <c r="U14" s="25">
        <f t="shared" si="8"/>
        <v>1605.2849999999999</v>
      </c>
    </row>
    <row r="15" spans="1:21">
      <c r="A15" s="47" t="s">
        <v>178</v>
      </c>
      <c r="B15" s="47">
        <v>9222</v>
      </c>
      <c r="C15" s="47" t="s">
        <v>200</v>
      </c>
      <c r="G15" s="47">
        <v>2008</v>
      </c>
      <c r="H15" s="47">
        <v>2</v>
      </c>
      <c r="I15" s="47">
        <v>0.33</v>
      </c>
      <c r="J15" s="47" t="s">
        <v>30</v>
      </c>
      <c r="K15" s="47">
        <v>5</v>
      </c>
      <c r="L15" s="47">
        <f t="shared" si="0"/>
        <v>2013</v>
      </c>
      <c r="M15" s="48">
        <f t="shared" si="1"/>
        <v>2013.1666666666667</v>
      </c>
      <c r="N15" s="5">
        <f>'2180 Other - Orig.'!O15</f>
        <v>31855.049500000001</v>
      </c>
      <c r="O15" s="5">
        <f t="shared" si="2"/>
        <v>21342.883164999999</v>
      </c>
      <c r="P15" s="5">
        <f t="shared" si="3"/>
        <v>355.71471941666664</v>
      </c>
      <c r="Q15" s="5">
        <f t="shared" si="4"/>
        <v>4268.5766329999997</v>
      </c>
      <c r="R15" s="5">
        <f t="shared" si="5"/>
        <v>0</v>
      </c>
      <c r="S15" s="5">
        <f t="shared" si="6"/>
        <v>31855.049500000001</v>
      </c>
      <c r="T15" s="5">
        <f t="shared" si="7"/>
        <v>31855.049500000001</v>
      </c>
      <c r="U15" s="5">
        <f t="shared" si="8"/>
        <v>0</v>
      </c>
    </row>
    <row r="16" spans="1:21" s="24" customFormat="1">
      <c r="C16" s="24" t="s">
        <v>1031</v>
      </c>
      <c r="G16" s="24">
        <v>2017</v>
      </c>
      <c r="H16" s="24">
        <v>9</v>
      </c>
      <c r="I16" s="24">
        <v>0</v>
      </c>
      <c r="J16" s="24" t="s">
        <v>30</v>
      </c>
      <c r="K16" s="24">
        <f>+IF(L15-$O$3&gt;=3,L15-$O$3,3)</f>
        <v>3</v>
      </c>
      <c r="L16" s="24">
        <f t="shared" si="0"/>
        <v>2020</v>
      </c>
      <c r="M16" s="28">
        <f t="shared" si="1"/>
        <v>2020.75</v>
      </c>
      <c r="N16" s="25">
        <f>'2180 Other - Orig.'!N15-N15</f>
        <v>15689.800499999998</v>
      </c>
      <c r="O16" s="25">
        <f t="shared" si="2"/>
        <v>15689.800499999998</v>
      </c>
      <c r="P16" s="25">
        <f t="shared" si="3"/>
        <v>435.8277916666666</v>
      </c>
      <c r="Q16" s="25">
        <f t="shared" si="4"/>
        <v>5229.9334999999992</v>
      </c>
      <c r="R16" s="25">
        <f t="shared" si="5"/>
        <v>5229.9334999999992</v>
      </c>
      <c r="S16" s="25">
        <f t="shared" si="6"/>
        <v>5229.9334999999992</v>
      </c>
      <c r="T16" s="25">
        <f t="shared" si="7"/>
        <v>10459.866999999998</v>
      </c>
      <c r="U16" s="25">
        <f t="shared" si="8"/>
        <v>5229.9334999999992</v>
      </c>
    </row>
    <row r="17" spans="2:21">
      <c r="C17" s="47" t="s">
        <v>594</v>
      </c>
      <c r="D17" s="47">
        <v>86839</v>
      </c>
      <c r="G17" s="47">
        <v>2008</v>
      </c>
      <c r="H17" s="47">
        <v>11</v>
      </c>
      <c r="I17" s="47">
        <v>0</v>
      </c>
      <c r="J17" s="47" t="s">
        <v>30</v>
      </c>
      <c r="K17" s="47">
        <v>3</v>
      </c>
      <c r="L17" s="47">
        <f t="shared" si="0"/>
        <v>2011</v>
      </c>
      <c r="M17" s="48">
        <f t="shared" si="1"/>
        <v>2011.9166666666667</v>
      </c>
      <c r="N17" s="5">
        <v>1000</v>
      </c>
      <c r="O17" s="5">
        <f t="shared" si="2"/>
        <v>1000</v>
      </c>
      <c r="P17" s="5">
        <f t="shared" si="3"/>
        <v>27.777777777777775</v>
      </c>
      <c r="Q17" s="5">
        <f t="shared" si="4"/>
        <v>333.33333333333331</v>
      </c>
      <c r="R17" s="5">
        <f t="shared" si="5"/>
        <v>0</v>
      </c>
      <c r="S17" s="5">
        <f t="shared" si="6"/>
        <v>1000</v>
      </c>
      <c r="T17" s="5">
        <f t="shared" si="7"/>
        <v>1000</v>
      </c>
      <c r="U17" s="5">
        <f t="shared" si="8"/>
        <v>0</v>
      </c>
    </row>
    <row r="18" spans="2:21">
      <c r="B18" s="47">
        <v>1</v>
      </c>
      <c r="C18" s="47" t="s">
        <v>240</v>
      </c>
      <c r="G18" s="47">
        <v>2009</v>
      </c>
      <c r="H18" s="47">
        <v>5</v>
      </c>
      <c r="I18" s="47">
        <v>0</v>
      </c>
      <c r="J18" s="47" t="s">
        <v>30</v>
      </c>
      <c r="K18" s="47">
        <v>5</v>
      </c>
      <c r="L18" s="47">
        <f t="shared" si="0"/>
        <v>2014</v>
      </c>
      <c r="M18" s="48">
        <f t="shared" si="1"/>
        <v>2014.4166666666667</v>
      </c>
      <c r="N18" s="5">
        <v>789.55</v>
      </c>
      <c r="O18" s="5">
        <f t="shared" si="2"/>
        <v>789.55</v>
      </c>
      <c r="P18" s="5">
        <f t="shared" si="3"/>
        <v>13.159166666666666</v>
      </c>
      <c r="Q18" s="5">
        <f t="shared" si="4"/>
        <v>157.91</v>
      </c>
      <c r="R18" s="5">
        <f t="shared" si="5"/>
        <v>0</v>
      </c>
      <c r="S18" s="5">
        <f t="shared" si="6"/>
        <v>789.55</v>
      </c>
      <c r="T18" s="5">
        <f t="shared" si="7"/>
        <v>789.55</v>
      </c>
      <c r="U18" s="5">
        <f t="shared" si="8"/>
        <v>0</v>
      </c>
    </row>
    <row r="19" spans="2:21">
      <c r="B19" s="47">
        <v>1</v>
      </c>
      <c r="C19" s="47" t="s">
        <v>577</v>
      </c>
      <c r="G19" s="47">
        <v>2009</v>
      </c>
      <c r="H19" s="47">
        <v>10</v>
      </c>
      <c r="I19" s="47">
        <v>0</v>
      </c>
      <c r="J19" s="47" t="s">
        <v>30</v>
      </c>
      <c r="K19" s="47">
        <v>5</v>
      </c>
      <c r="L19" s="47">
        <f t="shared" si="0"/>
        <v>2014</v>
      </c>
      <c r="M19" s="48">
        <f t="shared" si="1"/>
        <v>2014.8333333333333</v>
      </c>
      <c r="N19" s="5">
        <v>3036.35</v>
      </c>
      <c r="O19" s="5">
        <f t="shared" si="2"/>
        <v>3036.35</v>
      </c>
      <c r="P19" s="5">
        <f t="shared" si="3"/>
        <v>50.605833333333329</v>
      </c>
      <c r="Q19" s="5">
        <f t="shared" si="4"/>
        <v>607.27</v>
      </c>
      <c r="R19" s="5">
        <f t="shared" si="5"/>
        <v>0</v>
      </c>
      <c r="S19" s="5">
        <f t="shared" si="6"/>
        <v>3036.35</v>
      </c>
      <c r="T19" s="5">
        <f t="shared" si="7"/>
        <v>3036.35</v>
      </c>
      <c r="U19" s="5">
        <f t="shared" si="8"/>
        <v>0</v>
      </c>
    </row>
    <row r="20" spans="2:21">
      <c r="C20" s="47" t="s">
        <v>510</v>
      </c>
      <c r="D20" s="47">
        <v>82331</v>
      </c>
      <c r="E20" s="47" t="s">
        <v>372</v>
      </c>
      <c r="G20" s="47">
        <v>2011</v>
      </c>
      <c r="H20" s="47">
        <v>3</v>
      </c>
      <c r="I20" s="47">
        <v>0</v>
      </c>
      <c r="J20" s="47" t="s">
        <v>30</v>
      </c>
      <c r="K20" s="47">
        <v>5</v>
      </c>
      <c r="L20" s="47">
        <f t="shared" si="0"/>
        <v>2016</v>
      </c>
      <c r="M20" s="48">
        <f t="shared" si="1"/>
        <v>2016.25</v>
      </c>
      <c r="N20" s="5">
        <v>7305.94</v>
      </c>
      <c r="O20" s="5">
        <f t="shared" si="2"/>
        <v>7305.94</v>
      </c>
      <c r="P20" s="5">
        <f t="shared" si="3"/>
        <v>121.76566666666666</v>
      </c>
      <c r="Q20" s="5">
        <f t="shared" si="4"/>
        <v>1461.1879999999999</v>
      </c>
      <c r="R20" s="5">
        <f t="shared" si="5"/>
        <v>0</v>
      </c>
      <c r="S20" s="5">
        <f t="shared" si="6"/>
        <v>7305.94</v>
      </c>
      <c r="T20" s="5">
        <f t="shared" si="7"/>
        <v>7305.94</v>
      </c>
      <c r="U20" s="5">
        <f t="shared" si="8"/>
        <v>0</v>
      </c>
    </row>
    <row r="21" spans="2:21">
      <c r="C21" s="47" t="s">
        <v>578</v>
      </c>
      <c r="D21" s="47" t="s">
        <v>511</v>
      </c>
      <c r="G21" s="47">
        <v>2011</v>
      </c>
      <c r="H21" s="47">
        <v>3</v>
      </c>
      <c r="I21" s="47">
        <v>0</v>
      </c>
      <c r="J21" s="47" t="s">
        <v>30</v>
      </c>
      <c r="K21" s="47">
        <v>5</v>
      </c>
      <c r="L21" s="47">
        <f t="shared" si="0"/>
        <v>2016</v>
      </c>
      <c r="M21" s="48">
        <f t="shared" si="1"/>
        <v>2016.25</v>
      </c>
      <c r="N21" s="5">
        <f>121878.12+1737.87</f>
        <v>123615.98999999999</v>
      </c>
      <c r="O21" s="5">
        <f t="shared" si="2"/>
        <v>123615.98999999999</v>
      </c>
      <c r="P21" s="5">
        <f t="shared" si="3"/>
        <v>2060.2664999999997</v>
      </c>
      <c r="Q21" s="5">
        <f t="shared" si="4"/>
        <v>24723.197999999997</v>
      </c>
      <c r="R21" s="5">
        <f t="shared" si="5"/>
        <v>0</v>
      </c>
      <c r="S21" s="5">
        <f t="shared" si="6"/>
        <v>123615.98999999999</v>
      </c>
      <c r="T21" s="5">
        <f t="shared" si="7"/>
        <v>123615.98999999999</v>
      </c>
      <c r="U21" s="5">
        <f t="shared" si="8"/>
        <v>0</v>
      </c>
    </row>
    <row r="22" spans="2:21">
      <c r="C22" s="47" t="s">
        <v>527</v>
      </c>
      <c r="D22" s="47">
        <v>84028</v>
      </c>
      <c r="E22" s="47">
        <v>80461</v>
      </c>
      <c r="G22" s="47">
        <v>2011</v>
      </c>
      <c r="H22" s="47">
        <v>3</v>
      </c>
      <c r="I22" s="47">
        <v>0</v>
      </c>
      <c r="J22" s="47" t="s">
        <v>30</v>
      </c>
      <c r="K22" s="47">
        <v>7</v>
      </c>
      <c r="L22" s="47">
        <f t="shared" si="0"/>
        <v>2018</v>
      </c>
      <c r="M22" s="48">
        <f t="shared" si="1"/>
        <v>2018.25</v>
      </c>
      <c r="N22" s="5">
        <v>68923.28</v>
      </c>
      <c r="O22" s="5">
        <f t="shared" si="2"/>
        <v>68923.28</v>
      </c>
      <c r="P22" s="5">
        <f t="shared" si="3"/>
        <v>820.51523809523815</v>
      </c>
      <c r="Q22" s="5">
        <f t="shared" si="4"/>
        <v>9846.1828571428578</v>
      </c>
      <c r="R22" s="5">
        <f t="shared" si="5"/>
        <v>0</v>
      </c>
      <c r="S22" s="5">
        <f t="shared" si="6"/>
        <v>68923.28</v>
      </c>
      <c r="T22" s="5">
        <f t="shared" si="7"/>
        <v>68923.28</v>
      </c>
      <c r="U22" s="5">
        <f t="shared" si="8"/>
        <v>0</v>
      </c>
    </row>
    <row r="23" spans="2:21">
      <c r="C23" s="47" t="s">
        <v>532</v>
      </c>
      <c r="D23" s="47">
        <v>84654</v>
      </c>
      <c r="E23" s="47" t="s">
        <v>372</v>
      </c>
      <c r="G23" s="47">
        <v>2011</v>
      </c>
      <c r="H23" s="47">
        <v>5</v>
      </c>
      <c r="I23" s="47">
        <v>0</v>
      </c>
      <c r="J23" s="47" t="s">
        <v>30</v>
      </c>
      <c r="K23" s="47">
        <v>5</v>
      </c>
      <c r="L23" s="47">
        <f t="shared" si="0"/>
        <v>2016</v>
      </c>
      <c r="M23" s="48">
        <f t="shared" si="1"/>
        <v>2016.4166666666667</v>
      </c>
      <c r="N23" s="5">
        <v>21323.33</v>
      </c>
      <c r="O23" s="5">
        <f t="shared" si="2"/>
        <v>21323.33</v>
      </c>
      <c r="P23" s="5">
        <f t="shared" si="3"/>
        <v>355.38883333333337</v>
      </c>
      <c r="Q23" s="5">
        <f t="shared" si="4"/>
        <v>4264.6660000000002</v>
      </c>
      <c r="R23" s="5">
        <f t="shared" si="5"/>
        <v>0</v>
      </c>
      <c r="S23" s="5">
        <f t="shared" si="6"/>
        <v>21323.33</v>
      </c>
      <c r="T23" s="5">
        <f t="shared" si="7"/>
        <v>21323.33</v>
      </c>
      <c r="U23" s="5">
        <f t="shared" si="8"/>
        <v>0</v>
      </c>
    </row>
    <row r="24" spans="2:21">
      <c r="C24" s="47" t="s">
        <v>743</v>
      </c>
      <c r="D24" s="47">
        <v>114876</v>
      </c>
      <c r="G24" s="47">
        <v>2011</v>
      </c>
      <c r="H24" s="47">
        <v>12</v>
      </c>
      <c r="I24" s="47">
        <v>0</v>
      </c>
      <c r="J24" s="47" t="s">
        <v>30</v>
      </c>
      <c r="K24" s="47">
        <v>5</v>
      </c>
      <c r="L24" s="47">
        <f t="shared" si="0"/>
        <v>2016</v>
      </c>
      <c r="M24" s="48">
        <f t="shared" si="1"/>
        <v>2017</v>
      </c>
      <c r="N24" s="5">
        <v>31190.89</v>
      </c>
      <c r="O24" s="5">
        <f t="shared" si="2"/>
        <v>31190.89</v>
      </c>
      <c r="P24" s="5">
        <f t="shared" si="3"/>
        <v>519.84816666666666</v>
      </c>
      <c r="Q24" s="5">
        <f t="shared" si="4"/>
        <v>6238.1779999999999</v>
      </c>
      <c r="R24" s="5">
        <f t="shared" si="5"/>
        <v>0</v>
      </c>
      <c r="S24" s="5">
        <f t="shared" si="6"/>
        <v>31190.89</v>
      </c>
      <c r="T24" s="5">
        <f t="shared" si="7"/>
        <v>31190.89</v>
      </c>
      <c r="U24" s="5">
        <f t="shared" si="8"/>
        <v>0</v>
      </c>
    </row>
    <row r="25" spans="2:21">
      <c r="C25" s="47" t="s">
        <v>631</v>
      </c>
      <c r="D25" s="47">
        <v>91123</v>
      </c>
      <c r="G25" s="47">
        <v>2012</v>
      </c>
      <c r="H25" s="47">
        <v>2</v>
      </c>
      <c r="I25" s="47">
        <v>0</v>
      </c>
      <c r="J25" s="47" t="s">
        <v>30</v>
      </c>
      <c r="K25" s="47">
        <v>5</v>
      </c>
      <c r="L25" s="47">
        <f t="shared" si="0"/>
        <v>2017</v>
      </c>
      <c r="M25" s="48">
        <f t="shared" si="1"/>
        <v>2017.1666666666667</v>
      </c>
      <c r="N25" s="5">
        <v>804.21</v>
      </c>
      <c r="O25" s="5">
        <f t="shared" si="2"/>
        <v>804.21</v>
      </c>
      <c r="P25" s="5">
        <f t="shared" si="3"/>
        <v>13.403500000000001</v>
      </c>
      <c r="Q25" s="5">
        <f t="shared" si="4"/>
        <v>160.84200000000001</v>
      </c>
      <c r="R25" s="5">
        <f t="shared" si="5"/>
        <v>0</v>
      </c>
      <c r="S25" s="5">
        <f t="shared" si="6"/>
        <v>804.21</v>
      </c>
      <c r="T25" s="5">
        <f t="shared" si="7"/>
        <v>804.21</v>
      </c>
      <c r="U25" s="5">
        <f t="shared" si="8"/>
        <v>0</v>
      </c>
    </row>
    <row r="26" spans="2:21">
      <c r="C26" s="47" t="s">
        <v>635</v>
      </c>
      <c r="D26" s="47" t="s">
        <v>636</v>
      </c>
      <c r="G26" s="47">
        <v>2012</v>
      </c>
      <c r="H26" s="47">
        <v>4</v>
      </c>
      <c r="I26" s="47">
        <v>0</v>
      </c>
      <c r="J26" s="47" t="s">
        <v>30</v>
      </c>
      <c r="K26" s="47">
        <v>5</v>
      </c>
      <c r="L26" s="47">
        <f t="shared" si="0"/>
        <v>2017</v>
      </c>
      <c r="M26" s="48">
        <f t="shared" si="1"/>
        <v>2017.3333333333333</v>
      </c>
      <c r="N26" s="5">
        <f>1046+523</f>
        <v>1569</v>
      </c>
      <c r="O26" s="5">
        <f t="shared" si="2"/>
        <v>1569</v>
      </c>
      <c r="P26" s="5">
        <f t="shared" si="3"/>
        <v>26.150000000000002</v>
      </c>
      <c r="Q26" s="5">
        <f t="shared" si="4"/>
        <v>313.8</v>
      </c>
      <c r="R26" s="5">
        <f t="shared" si="5"/>
        <v>0</v>
      </c>
      <c r="S26" s="5">
        <f t="shared" si="6"/>
        <v>1569</v>
      </c>
      <c r="T26" s="5">
        <f t="shared" si="7"/>
        <v>1569</v>
      </c>
      <c r="U26" s="5">
        <f t="shared" si="8"/>
        <v>0</v>
      </c>
    </row>
    <row r="27" spans="2:21">
      <c r="C27" s="47" t="s">
        <v>639</v>
      </c>
      <c r="D27" s="47">
        <v>95598</v>
      </c>
      <c r="G27" s="47">
        <v>2012</v>
      </c>
      <c r="H27" s="47">
        <v>8</v>
      </c>
      <c r="I27" s="47">
        <v>0</v>
      </c>
      <c r="J27" s="47" t="s">
        <v>30</v>
      </c>
      <c r="K27" s="47">
        <v>8</v>
      </c>
      <c r="L27" s="47">
        <f t="shared" si="0"/>
        <v>2020</v>
      </c>
      <c r="M27" s="48">
        <f t="shared" si="1"/>
        <v>2020.6666666666667</v>
      </c>
      <c r="N27" s="5">
        <v>1078</v>
      </c>
      <c r="O27" s="5">
        <f t="shared" si="2"/>
        <v>1078</v>
      </c>
      <c r="P27" s="5">
        <f t="shared" si="3"/>
        <v>11.229166666666666</v>
      </c>
      <c r="Q27" s="5">
        <f t="shared" si="4"/>
        <v>134.75</v>
      </c>
      <c r="R27" s="5">
        <f t="shared" si="5"/>
        <v>134.75</v>
      </c>
      <c r="S27" s="5">
        <f t="shared" si="6"/>
        <v>808.5</v>
      </c>
      <c r="T27" s="5">
        <f t="shared" si="7"/>
        <v>943.25</v>
      </c>
      <c r="U27" s="5">
        <f t="shared" si="8"/>
        <v>134.75</v>
      </c>
    </row>
    <row r="28" spans="2:21">
      <c r="B28" s="47">
        <v>2</v>
      </c>
      <c r="C28" s="47" t="s">
        <v>649</v>
      </c>
      <c r="D28" s="47">
        <v>98423</v>
      </c>
      <c r="G28" s="47">
        <v>2012</v>
      </c>
      <c r="H28" s="47">
        <v>11</v>
      </c>
      <c r="I28" s="47">
        <v>0</v>
      </c>
      <c r="J28" s="47" t="s">
        <v>30</v>
      </c>
      <c r="K28" s="47">
        <v>5</v>
      </c>
      <c r="L28" s="47">
        <f t="shared" si="0"/>
        <v>2017</v>
      </c>
      <c r="M28" s="48">
        <f t="shared" si="1"/>
        <v>2017.9166666666667</v>
      </c>
      <c r="N28" s="5">
        <v>11322</v>
      </c>
      <c r="O28" s="5">
        <f t="shared" si="2"/>
        <v>11322</v>
      </c>
      <c r="P28" s="5">
        <f t="shared" si="3"/>
        <v>188.70000000000002</v>
      </c>
      <c r="Q28" s="5">
        <f t="shared" si="4"/>
        <v>2264.4</v>
      </c>
      <c r="R28" s="5">
        <f t="shared" si="5"/>
        <v>0</v>
      </c>
      <c r="S28" s="5">
        <f t="shared" si="6"/>
        <v>11322</v>
      </c>
      <c r="T28" s="5">
        <f t="shared" si="7"/>
        <v>11322</v>
      </c>
      <c r="U28" s="5">
        <f t="shared" si="8"/>
        <v>0</v>
      </c>
    </row>
    <row r="29" spans="2:21">
      <c r="C29" s="47" t="s">
        <v>639</v>
      </c>
      <c r="D29" s="47">
        <v>101995</v>
      </c>
      <c r="G29" s="47">
        <v>2013</v>
      </c>
      <c r="H29" s="47">
        <v>1</v>
      </c>
      <c r="I29" s="47">
        <v>0</v>
      </c>
      <c r="J29" s="47" t="s">
        <v>30</v>
      </c>
      <c r="K29" s="47">
        <v>8</v>
      </c>
      <c r="L29" s="47">
        <f t="shared" si="0"/>
        <v>2021</v>
      </c>
      <c r="M29" s="48">
        <f t="shared" si="1"/>
        <v>2021.0833333333333</v>
      </c>
      <c r="N29" s="5">
        <v>1066</v>
      </c>
      <c r="O29" s="5">
        <f t="shared" si="2"/>
        <v>1066</v>
      </c>
      <c r="P29" s="5">
        <f t="shared" si="3"/>
        <v>11.104166666666666</v>
      </c>
      <c r="Q29" s="5">
        <f t="shared" si="4"/>
        <v>133.25</v>
      </c>
      <c r="R29" s="5">
        <f t="shared" si="5"/>
        <v>133.25</v>
      </c>
      <c r="S29" s="5">
        <f t="shared" si="6"/>
        <v>666.25</v>
      </c>
      <c r="T29" s="5">
        <f t="shared" si="7"/>
        <v>799.5</v>
      </c>
      <c r="U29" s="5">
        <f t="shared" si="8"/>
        <v>266.5</v>
      </c>
    </row>
    <row r="30" spans="2:21">
      <c r="B30" s="47">
        <v>1</v>
      </c>
      <c r="C30" s="47" t="s">
        <v>719</v>
      </c>
      <c r="D30" s="47">
        <v>115909</v>
      </c>
      <c r="G30" s="47">
        <v>2014</v>
      </c>
      <c r="H30" s="47">
        <v>6</v>
      </c>
      <c r="I30" s="47">
        <v>0</v>
      </c>
      <c r="J30" s="47" t="s">
        <v>30</v>
      </c>
      <c r="K30" s="47">
        <v>5</v>
      </c>
      <c r="L30" s="47">
        <f t="shared" si="0"/>
        <v>2019</v>
      </c>
      <c r="M30" s="48">
        <f t="shared" si="1"/>
        <v>2019.5</v>
      </c>
      <c r="N30" s="5">
        <v>4221.4399999999996</v>
      </c>
      <c r="O30" s="5">
        <f t="shared" si="2"/>
        <v>4221.4399999999996</v>
      </c>
      <c r="P30" s="5">
        <f t="shared" si="3"/>
        <v>70.35733333333333</v>
      </c>
      <c r="Q30" s="5">
        <f t="shared" si="4"/>
        <v>844.28800000000001</v>
      </c>
      <c r="R30" s="5">
        <f t="shared" si="5"/>
        <v>422.14400000000001</v>
      </c>
      <c r="S30" s="5">
        <f t="shared" si="6"/>
        <v>3377.152</v>
      </c>
      <c r="T30" s="5">
        <f t="shared" si="7"/>
        <v>3799.2960000000003</v>
      </c>
      <c r="U30" s="5">
        <f t="shared" si="8"/>
        <v>422.14399999999932</v>
      </c>
    </row>
    <row r="31" spans="2:21">
      <c r="C31" s="47" t="s">
        <v>731</v>
      </c>
      <c r="D31" s="47">
        <v>118539</v>
      </c>
      <c r="G31" s="47">
        <v>2014</v>
      </c>
      <c r="H31" s="47">
        <v>12</v>
      </c>
      <c r="I31" s="47">
        <v>0</v>
      </c>
      <c r="J31" s="47" t="s">
        <v>30</v>
      </c>
      <c r="K31" s="47">
        <v>5</v>
      </c>
      <c r="L31" s="47">
        <f t="shared" si="0"/>
        <v>2019</v>
      </c>
      <c r="M31" s="48">
        <f t="shared" si="1"/>
        <v>2020</v>
      </c>
      <c r="N31" s="5">
        <v>12525.06</v>
      </c>
      <c r="O31" s="5">
        <f t="shared" si="2"/>
        <v>12525.06</v>
      </c>
      <c r="P31" s="5">
        <f t="shared" si="3"/>
        <v>208.75099999999998</v>
      </c>
      <c r="Q31" s="5">
        <f t="shared" si="4"/>
        <v>2505.0119999999997</v>
      </c>
      <c r="R31" s="5">
        <f t="shared" si="5"/>
        <v>2505.0119999999997</v>
      </c>
      <c r="S31" s="5">
        <f t="shared" si="6"/>
        <v>10020.047999999999</v>
      </c>
      <c r="T31" s="5">
        <f t="shared" si="7"/>
        <v>12525.059999999998</v>
      </c>
      <c r="U31" s="5">
        <f t="shared" si="8"/>
        <v>0</v>
      </c>
    </row>
    <row r="32" spans="2:21">
      <c r="C32" s="47" t="s">
        <v>733</v>
      </c>
      <c r="D32" s="47">
        <v>118538</v>
      </c>
      <c r="G32" s="47">
        <v>2014</v>
      </c>
      <c r="H32" s="47">
        <v>12</v>
      </c>
      <c r="I32" s="47">
        <v>0</v>
      </c>
      <c r="J32" s="47" t="s">
        <v>30</v>
      </c>
      <c r="K32" s="47">
        <v>5</v>
      </c>
      <c r="L32" s="47">
        <f t="shared" si="0"/>
        <v>2019</v>
      </c>
      <c r="M32" s="48">
        <f t="shared" si="1"/>
        <v>2020</v>
      </c>
      <c r="N32" s="5">
        <v>6310.39</v>
      </c>
      <c r="O32" s="5">
        <f t="shared" si="2"/>
        <v>6310.39</v>
      </c>
      <c r="P32" s="5">
        <f t="shared" si="3"/>
        <v>105.17316666666666</v>
      </c>
      <c r="Q32" s="5">
        <f t="shared" si="4"/>
        <v>1262.078</v>
      </c>
      <c r="R32" s="5">
        <f t="shared" si="5"/>
        <v>1262.078</v>
      </c>
      <c r="S32" s="5">
        <f t="shared" si="6"/>
        <v>5048.3119999999999</v>
      </c>
      <c r="T32" s="5">
        <f t="shared" si="7"/>
        <v>6310.3899999999994</v>
      </c>
      <c r="U32" s="5">
        <f t="shared" si="8"/>
        <v>0</v>
      </c>
    </row>
    <row r="33" spans="1:21">
      <c r="B33" s="47">
        <v>9214</v>
      </c>
      <c r="C33" s="47" t="s">
        <v>756</v>
      </c>
      <c r="D33" s="47">
        <v>122789</v>
      </c>
      <c r="G33" s="47">
        <v>2015</v>
      </c>
      <c r="H33" s="47">
        <v>5</v>
      </c>
      <c r="I33" s="47">
        <v>0</v>
      </c>
      <c r="J33" s="47" t="s">
        <v>30</v>
      </c>
      <c r="K33" s="47">
        <v>3</v>
      </c>
      <c r="L33" s="47">
        <f t="shared" si="0"/>
        <v>2018</v>
      </c>
      <c r="M33" s="48">
        <f t="shared" si="1"/>
        <v>2018.4166666666667</v>
      </c>
      <c r="N33" s="5">
        <v>11461.68</v>
      </c>
      <c r="O33" s="5">
        <f t="shared" si="2"/>
        <v>11461.68</v>
      </c>
      <c r="P33" s="5">
        <f t="shared" si="3"/>
        <v>318.38</v>
      </c>
      <c r="Q33" s="5">
        <f t="shared" si="4"/>
        <v>3820.56</v>
      </c>
      <c r="R33" s="5">
        <f t="shared" si="5"/>
        <v>0</v>
      </c>
      <c r="S33" s="5">
        <f t="shared" si="6"/>
        <v>11461.68</v>
      </c>
      <c r="T33" s="5">
        <f t="shared" si="7"/>
        <v>11461.68</v>
      </c>
      <c r="U33" s="5">
        <f t="shared" si="8"/>
        <v>0</v>
      </c>
    </row>
    <row r="34" spans="1:21">
      <c r="B34" s="47">
        <v>7049</v>
      </c>
      <c r="C34" s="47" t="s">
        <v>763</v>
      </c>
      <c r="D34" s="47">
        <v>123428</v>
      </c>
      <c r="G34" s="47">
        <v>2015</v>
      </c>
      <c r="H34" s="47">
        <v>5</v>
      </c>
      <c r="I34" s="47">
        <v>0</v>
      </c>
      <c r="J34" s="47" t="s">
        <v>30</v>
      </c>
      <c r="K34" s="47">
        <v>5</v>
      </c>
      <c r="L34" s="47">
        <f t="shared" si="0"/>
        <v>2020</v>
      </c>
      <c r="M34" s="48">
        <f t="shared" si="1"/>
        <v>2020.4166666666667</v>
      </c>
      <c r="N34" s="5">
        <v>31902.34</v>
      </c>
      <c r="O34" s="5">
        <f t="shared" si="2"/>
        <v>31902.34</v>
      </c>
      <c r="P34" s="5">
        <f t="shared" si="3"/>
        <v>531.70566666666662</v>
      </c>
      <c r="Q34" s="5">
        <f t="shared" si="4"/>
        <v>6380.4679999999989</v>
      </c>
      <c r="R34" s="5">
        <f t="shared" si="5"/>
        <v>6380.4679999999989</v>
      </c>
      <c r="S34" s="5">
        <f t="shared" si="6"/>
        <v>19141.403999999995</v>
      </c>
      <c r="T34" s="5">
        <f t="shared" si="7"/>
        <v>25521.871999999996</v>
      </c>
      <c r="U34" s="5">
        <f t="shared" si="8"/>
        <v>6380.4680000000044</v>
      </c>
    </row>
    <row r="35" spans="1:21">
      <c r="B35" s="47">
        <v>6052</v>
      </c>
      <c r="C35" s="47" t="s">
        <v>761</v>
      </c>
      <c r="D35" s="47">
        <v>123432</v>
      </c>
      <c r="G35" s="47">
        <v>2015</v>
      </c>
      <c r="H35" s="47">
        <v>6</v>
      </c>
      <c r="I35" s="47">
        <v>0</v>
      </c>
      <c r="J35" s="47" t="s">
        <v>30</v>
      </c>
      <c r="K35" s="47">
        <v>5</v>
      </c>
      <c r="L35" s="47">
        <f t="shared" si="0"/>
        <v>2020</v>
      </c>
      <c r="M35" s="48">
        <f t="shared" si="1"/>
        <v>2020.5</v>
      </c>
      <c r="N35" s="5">
        <v>29540.76</v>
      </c>
      <c r="O35" s="5">
        <f t="shared" si="2"/>
        <v>29540.76</v>
      </c>
      <c r="P35" s="5">
        <f t="shared" si="3"/>
        <v>492.346</v>
      </c>
      <c r="Q35" s="5">
        <f t="shared" si="4"/>
        <v>5908.152</v>
      </c>
      <c r="R35" s="5">
        <f t="shared" si="5"/>
        <v>5908.152</v>
      </c>
      <c r="S35" s="5">
        <f t="shared" si="6"/>
        <v>17724.455999999998</v>
      </c>
      <c r="T35" s="5">
        <f t="shared" si="7"/>
        <v>23632.608</v>
      </c>
      <c r="U35" s="5">
        <f t="shared" si="8"/>
        <v>5908.1519999999982</v>
      </c>
    </row>
    <row r="36" spans="1:21">
      <c r="C36" s="47" t="s">
        <v>830</v>
      </c>
      <c r="D36" s="47">
        <v>133011</v>
      </c>
      <c r="G36" s="47">
        <v>2016</v>
      </c>
      <c r="H36" s="47">
        <v>4</v>
      </c>
      <c r="I36" s="47">
        <v>0</v>
      </c>
      <c r="J36" s="47" t="s">
        <v>30</v>
      </c>
      <c r="K36" s="47">
        <v>5</v>
      </c>
      <c r="L36" s="47">
        <f t="shared" si="0"/>
        <v>2021</v>
      </c>
      <c r="M36" s="48">
        <f t="shared" si="1"/>
        <v>2021.3333333333333</v>
      </c>
      <c r="N36" s="5">
        <v>16000</v>
      </c>
      <c r="O36" s="5">
        <f t="shared" si="2"/>
        <v>16000</v>
      </c>
      <c r="P36" s="5">
        <f t="shared" si="3"/>
        <v>266.66666666666669</v>
      </c>
      <c r="Q36" s="5">
        <f t="shared" si="4"/>
        <v>3200</v>
      </c>
      <c r="R36" s="5">
        <f t="shared" si="5"/>
        <v>3200</v>
      </c>
      <c r="S36" s="5">
        <f t="shared" si="6"/>
        <v>6400</v>
      </c>
      <c r="T36" s="5">
        <f t="shared" si="7"/>
        <v>9600</v>
      </c>
      <c r="U36" s="5">
        <f t="shared" si="8"/>
        <v>6400</v>
      </c>
    </row>
    <row r="40" spans="1:21">
      <c r="L40" s="3" t="s">
        <v>363</v>
      </c>
      <c r="M40" s="32"/>
      <c r="N40" s="9">
        <f>SUM(N13:N39)</f>
        <v>447124.56000000006</v>
      </c>
      <c r="O40" s="9">
        <f t="shared" ref="O40:U40" si="9">SUM(O13:O39)</f>
        <v>436612.39366500004</v>
      </c>
      <c r="P40" s="9">
        <f t="shared" si="9"/>
        <v>7301.5708602896821</v>
      </c>
      <c r="Q40" s="9">
        <f t="shared" si="9"/>
        <v>87618.850323476174</v>
      </c>
      <c r="R40" s="9">
        <f t="shared" si="9"/>
        <v>26781.072499999995</v>
      </c>
      <c r="S40" s="9">
        <f t="shared" si="9"/>
        <v>393996.255</v>
      </c>
      <c r="T40" s="9">
        <f t="shared" si="9"/>
        <v>420777.32749999996</v>
      </c>
      <c r="U40" s="9">
        <f t="shared" si="9"/>
        <v>26347.232500000002</v>
      </c>
    </row>
    <row r="42" spans="1:21">
      <c r="B42" s="4" t="s">
        <v>364</v>
      </c>
    </row>
    <row r="43" spans="1:21">
      <c r="A43" s="47" t="s">
        <v>468</v>
      </c>
      <c r="B43" s="47">
        <v>6035</v>
      </c>
      <c r="C43" s="47" t="s">
        <v>199</v>
      </c>
      <c r="G43" s="47">
        <v>2006</v>
      </c>
      <c r="H43" s="47">
        <v>3</v>
      </c>
      <c r="I43" s="47">
        <v>0</v>
      </c>
      <c r="J43" s="47" t="s">
        <v>30</v>
      </c>
      <c r="K43" s="47">
        <v>7</v>
      </c>
      <c r="L43" s="47">
        <f t="shared" ref="L43:L58" si="10">G43+K43</f>
        <v>2013</v>
      </c>
      <c r="M43" s="48">
        <f t="shared" ref="M43:M58" si="11">+L43+(H43/12)</f>
        <v>2013.25</v>
      </c>
      <c r="N43" s="5">
        <f>'2180 Other - Orig.'!O40</f>
        <v>16360.64</v>
      </c>
      <c r="O43" s="5">
        <f t="shared" ref="O43:O58" si="12">N43-N43*I43</f>
        <v>16360.64</v>
      </c>
      <c r="P43" s="5">
        <f t="shared" ref="P43:P58" si="13">O43/K43/12</f>
        <v>194.7695238095238</v>
      </c>
      <c r="Q43" s="5">
        <f t="shared" ref="Q43:Q58" si="14">P43*12</f>
        <v>2337.2342857142858</v>
      </c>
      <c r="R43" s="5">
        <f>+IF(M43&lt;=$O$5,0,IF(L43&gt;$O$4,Q43,(P43*H43)))</f>
        <v>0</v>
      </c>
      <c r="S43" s="5">
        <f>+IF(R43=0,N43,IF($O$3-G43&lt;1,0,(($O$3-G43)*Q43)))</f>
        <v>16360.64</v>
      </c>
      <c r="T43" s="5">
        <f>+IF(R43=0,S43,S43+R43)</f>
        <v>16360.64</v>
      </c>
      <c r="U43" s="5">
        <f>+N43-T43</f>
        <v>0</v>
      </c>
    </row>
    <row r="44" spans="1:21" s="24" customFormat="1">
      <c r="C44" s="24" t="s">
        <v>1033</v>
      </c>
      <c r="G44" s="24">
        <v>2017</v>
      </c>
      <c r="H44" s="24">
        <v>9</v>
      </c>
      <c r="I44" s="24">
        <v>0</v>
      </c>
      <c r="J44" s="24" t="s">
        <v>30</v>
      </c>
      <c r="K44" s="24">
        <f>+IF(L43-$O$3&gt;=3,L43-$O$3,3)</f>
        <v>3</v>
      </c>
      <c r="L44" s="24">
        <f t="shared" si="10"/>
        <v>2020</v>
      </c>
      <c r="M44" s="28">
        <f t="shared" si="11"/>
        <v>2020.75</v>
      </c>
      <c r="N44" s="25">
        <f>'2180 Other - Orig.'!N40-'2180 Other'!N43</f>
        <v>4090.16</v>
      </c>
      <c r="O44" s="25">
        <f t="shared" si="12"/>
        <v>4090.16</v>
      </c>
      <c r="P44" s="25">
        <f t="shared" si="13"/>
        <v>113.61555555555555</v>
      </c>
      <c r="Q44" s="25">
        <f t="shared" si="14"/>
        <v>1363.3866666666665</v>
      </c>
      <c r="R44" s="25">
        <f t="shared" ref="R44:R58" si="15">+IF(M44&lt;=$O$5,0,IF(L44&gt;$O$4,Q44,(P44*H44)))</f>
        <v>1363.3866666666665</v>
      </c>
      <c r="S44" s="25">
        <f t="shared" ref="S44:S58" si="16">+IF(R44=0,N44,IF($O$3-G44&lt;1,0,(($O$3-G44)*Q44)))</f>
        <v>1363.3866666666665</v>
      </c>
      <c r="T44" s="25">
        <f t="shared" ref="T44:T58" si="17">+IF(R44=0,S44,S44+R44)</f>
        <v>2726.7733333333331</v>
      </c>
      <c r="U44" s="25">
        <f t="shared" ref="U44:U58" si="18">+N44-T44</f>
        <v>1363.3866666666668</v>
      </c>
    </row>
    <row r="45" spans="1:21">
      <c r="B45" s="47">
        <v>6038</v>
      </c>
      <c r="C45" s="47" t="s">
        <v>872</v>
      </c>
      <c r="D45" s="47">
        <v>180957</v>
      </c>
      <c r="E45" s="47" t="s">
        <v>372</v>
      </c>
      <c r="G45" s="47">
        <v>2008</v>
      </c>
      <c r="H45" s="47">
        <v>11</v>
      </c>
      <c r="I45" s="47">
        <v>0</v>
      </c>
      <c r="J45" s="47" t="s">
        <v>30</v>
      </c>
      <c r="K45" s="47">
        <v>3</v>
      </c>
      <c r="L45" s="47">
        <f t="shared" si="10"/>
        <v>2011</v>
      </c>
      <c r="M45" s="48">
        <f t="shared" si="11"/>
        <v>2011.9166666666667</v>
      </c>
      <c r="N45" s="5">
        <v>13500</v>
      </c>
      <c r="O45" s="5">
        <f t="shared" si="12"/>
        <v>13500</v>
      </c>
      <c r="P45" s="5">
        <f t="shared" si="13"/>
        <v>375</v>
      </c>
      <c r="Q45" s="5">
        <f t="shared" si="14"/>
        <v>4500</v>
      </c>
      <c r="R45" s="5">
        <f t="shared" si="15"/>
        <v>0</v>
      </c>
      <c r="S45" s="5">
        <f t="shared" si="16"/>
        <v>13500</v>
      </c>
      <c r="T45" s="5">
        <f t="shared" si="17"/>
        <v>13500</v>
      </c>
      <c r="U45" s="5">
        <f t="shared" si="18"/>
        <v>0</v>
      </c>
    </row>
    <row r="46" spans="1:21">
      <c r="A46" s="47" t="s">
        <v>468</v>
      </c>
      <c r="B46" s="47">
        <v>6043</v>
      </c>
      <c r="C46" s="47" t="s">
        <v>579</v>
      </c>
      <c r="D46" s="47">
        <v>73834</v>
      </c>
      <c r="E46" s="47" t="s">
        <v>372</v>
      </c>
      <c r="G46" s="47">
        <v>2010</v>
      </c>
      <c r="H46" s="47">
        <v>4</v>
      </c>
      <c r="I46" s="47">
        <v>0</v>
      </c>
      <c r="J46" s="47" t="s">
        <v>30</v>
      </c>
      <c r="K46" s="47">
        <v>5</v>
      </c>
      <c r="L46" s="47">
        <f t="shared" si="10"/>
        <v>2015</v>
      </c>
      <c r="M46" s="48">
        <f t="shared" si="11"/>
        <v>2015.3333333333333</v>
      </c>
      <c r="N46" s="5">
        <f>'2180 Other - Orig.'!O42</f>
        <v>10050</v>
      </c>
      <c r="O46" s="5">
        <f t="shared" si="12"/>
        <v>10050</v>
      </c>
      <c r="P46" s="5">
        <f t="shared" si="13"/>
        <v>167.5</v>
      </c>
      <c r="Q46" s="5">
        <f t="shared" si="14"/>
        <v>2010</v>
      </c>
      <c r="R46" s="5">
        <f t="shared" si="15"/>
        <v>0</v>
      </c>
      <c r="S46" s="5">
        <f t="shared" si="16"/>
        <v>10050</v>
      </c>
      <c r="T46" s="5">
        <f t="shared" si="17"/>
        <v>10050</v>
      </c>
      <c r="U46" s="5">
        <f t="shared" si="18"/>
        <v>0</v>
      </c>
    </row>
    <row r="47" spans="1:21" s="24" customFormat="1">
      <c r="C47" s="24" t="s">
        <v>1034</v>
      </c>
      <c r="G47" s="24">
        <v>2017</v>
      </c>
      <c r="H47" s="24">
        <v>9</v>
      </c>
      <c r="I47" s="24">
        <v>0</v>
      </c>
      <c r="J47" s="24" t="s">
        <v>30</v>
      </c>
      <c r="K47" s="24">
        <f>+IF(L46-$O$3&gt;=3,L46-$O$3,3)</f>
        <v>3</v>
      </c>
      <c r="L47" s="24">
        <f t="shared" si="10"/>
        <v>2020</v>
      </c>
      <c r="M47" s="28">
        <f t="shared" si="11"/>
        <v>2020.75</v>
      </c>
      <c r="N47" s="25">
        <f>'2180 Other - Orig.'!N42-'2180 Other'!N46</f>
        <v>4950</v>
      </c>
      <c r="O47" s="25">
        <f t="shared" si="12"/>
        <v>4950</v>
      </c>
      <c r="P47" s="25">
        <f t="shared" si="13"/>
        <v>137.5</v>
      </c>
      <c r="Q47" s="25">
        <f t="shared" si="14"/>
        <v>1650</v>
      </c>
      <c r="R47" s="25">
        <f t="shared" si="15"/>
        <v>1650</v>
      </c>
      <c r="S47" s="25">
        <f t="shared" si="16"/>
        <v>1650</v>
      </c>
      <c r="T47" s="25">
        <f t="shared" si="17"/>
        <v>3300</v>
      </c>
      <c r="U47" s="25">
        <f t="shared" si="18"/>
        <v>1650</v>
      </c>
    </row>
    <row r="48" spans="1:21">
      <c r="A48" s="47" t="s">
        <v>468</v>
      </c>
      <c r="B48" s="47">
        <v>6046</v>
      </c>
      <c r="C48" s="47" t="s">
        <v>485</v>
      </c>
      <c r="D48" s="47">
        <v>80669</v>
      </c>
      <c r="E48" s="47" t="s">
        <v>372</v>
      </c>
      <c r="G48" s="47">
        <v>2011</v>
      </c>
      <c r="H48" s="47">
        <v>3</v>
      </c>
      <c r="I48" s="47">
        <v>0</v>
      </c>
      <c r="J48" s="47" t="s">
        <v>30</v>
      </c>
      <c r="K48" s="47">
        <v>5</v>
      </c>
      <c r="L48" s="47">
        <f t="shared" si="10"/>
        <v>2016</v>
      </c>
      <c r="M48" s="48">
        <f t="shared" si="11"/>
        <v>2016.25</v>
      </c>
      <c r="N48" s="5">
        <f>'2180 Other - Orig.'!O43</f>
        <v>13400</v>
      </c>
      <c r="O48" s="5">
        <f t="shared" si="12"/>
        <v>13400</v>
      </c>
      <c r="P48" s="5">
        <f t="shared" si="13"/>
        <v>223.33333333333334</v>
      </c>
      <c r="Q48" s="5">
        <f t="shared" si="14"/>
        <v>2680</v>
      </c>
      <c r="R48" s="5">
        <f t="shared" si="15"/>
        <v>0</v>
      </c>
      <c r="S48" s="5">
        <f t="shared" si="16"/>
        <v>13400</v>
      </c>
      <c r="T48" s="5">
        <f t="shared" si="17"/>
        <v>13400</v>
      </c>
      <c r="U48" s="5">
        <f t="shared" si="18"/>
        <v>0</v>
      </c>
    </row>
    <row r="49" spans="1:21" s="24" customFormat="1">
      <c r="C49" s="24" t="s">
        <v>1035</v>
      </c>
      <c r="G49" s="24">
        <v>2017</v>
      </c>
      <c r="H49" s="24">
        <v>9</v>
      </c>
      <c r="I49" s="24">
        <v>0</v>
      </c>
      <c r="J49" s="24" t="s">
        <v>30</v>
      </c>
      <c r="K49" s="24">
        <f>+IF(L48-$O$3&gt;=3,L48-$O$3,3)</f>
        <v>3</v>
      </c>
      <c r="L49" s="24">
        <f t="shared" si="10"/>
        <v>2020</v>
      </c>
      <c r="M49" s="28">
        <f t="shared" si="11"/>
        <v>2020.75</v>
      </c>
      <c r="N49" s="25">
        <f>'2180 Other - Orig.'!N43-'2180 Other'!N48</f>
        <v>6600</v>
      </c>
      <c r="O49" s="25">
        <f t="shared" si="12"/>
        <v>6600</v>
      </c>
      <c r="P49" s="25">
        <f t="shared" si="13"/>
        <v>183.33333333333334</v>
      </c>
      <c r="Q49" s="25">
        <f t="shared" si="14"/>
        <v>2200</v>
      </c>
      <c r="R49" s="25">
        <f t="shared" si="15"/>
        <v>2200</v>
      </c>
      <c r="S49" s="25">
        <f t="shared" si="16"/>
        <v>2200</v>
      </c>
      <c r="T49" s="25">
        <f t="shared" si="17"/>
        <v>4400</v>
      </c>
      <c r="U49" s="25">
        <f t="shared" si="18"/>
        <v>2200</v>
      </c>
    </row>
    <row r="50" spans="1:21">
      <c r="B50" s="47">
        <v>6048</v>
      </c>
      <c r="C50" s="47" t="s">
        <v>666</v>
      </c>
      <c r="D50" s="47">
        <v>103263</v>
      </c>
      <c r="G50" s="47">
        <v>2013</v>
      </c>
      <c r="H50" s="47">
        <v>4</v>
      </c>
      <c r="I50" s="47">
        <v>0</v>
      </c>
      <c r="J50" s="47" t="s">
        <v>30</v>
      </c>
      <c r="K50" s="47">
        <v>5</v>
      </c>
      <c r="L50" s="47">
        <f t="shared" si="10"/>
        <v>2018</v>
      </c>
      <c r="M50" s="48">
        <f t="shared" si="11"/>
        <v>2018.3333333333333</v>
      </c>
      <c r="N50" s="5">
        <v>25233.41</v>
      </c>
      <c r="O50" s="5">
        <f t="shared" si="12"/>
        <v>25233.41</v>
      </c>
      <c r="P50" s="5">
        <f t="shared" si="13"/>
        <v>420.55683333333332</v>
      </c>
      <c r="Q50" s="5">
        <f t="shared" si="14"/>
        <v>5046.6819999999998</v>
      </c>
      <c r="R50" s="5">
        <f t="shared" si="15"/>
        <v>0</v>
      </c>
      <c r="S50" s="5">
        <f t="shared" si="16"/>
        <v>25233.41</v>
      </c>
      <c r="T50" s="5">
        <f t="shared" si="17"/>
        <v>25233.41</v>
      </c>
      <c r="U50" s="5">
        <f t="shared" si="18"/>
        <v>0</v>
      </c>
    </row>
    <row r="51" spans="1:21">
      <c r="C51" s="47" t="s">
        <v>873</v>
      </c>
      <c r="D51" s="47">
        <v>180202</v>
      </c>
      <c r="G51" s="47">
        <v>2013</v>
      </c>
      <c r="H51" s="47">
        <v>4</v>
      </c>
      <c r="I51" s="47">
        <v>0</v>
      </c>
      <c r="J51" s="47" t="s">
        <v>30</v>
      </c>
      <c r="K51" s="47">
        <v>5</v>
      </c>
      <c r="L51" s="47">
        <f t="shared" si="10"/>
        <v>2018</v>
      </c>
      <c r="M51" s="48">
        <f t="shared" si="11"/>
        <v>2018.3333333333333</v>
      </c>
      <c r="N51" s="5">
        <v>25999.99</v>
      </c>
      <c r="O51" s="5">
        <f t="shared" si="12"/>
        <v>25999.99</v>
      </c>
      <c r="P51" s="5">
        <f t="shared" si="13"/>
        <v>433.33316666666673</v>
      </c>
      <c r="Q51" s="5">
        <f t="shared" si="14"/>
        <v>5199.9980000000005</v>
      </c>
      <c r="R51" s="5">
        <f t="shared" si="15"/>
        <v>0</v>
      </c>
      <c r="S51" s="5">
        <f t="shared" si="16"/>
        <v>25999.99</v>
      </c>
      <c r="T51" s="5">
        <f t="shared" si="17"/>
        <v>25999.99</v>
      </c>
      <c r="U51" s="5">
        <f t="shared" si="18"/>
        <v>0</v>
      </c>
    </row>
    <row r="52" spans="1:21">
      <c r="A52" s="47" t="s">
        <v>468</v>
      </c>
      <c r="B52" s="47">
        <v>6049</v>
      </c>
      <c r="C52" s="47" t="s">
        <v>681</v>
      </c>
      <c r="D52" s="47">
        <v>106765</v>
      </c>
      <c r="G52" s="47">
        <v>2013</v>
      </c>
      <c r="H52" s="47">
        <v>8</v>
      </c>
      <c r="I52" s="47">
        <v>0</v>
      </c>
      <c r="J52" s="47" t="s">
        <v>30</v>
      </c>
      <c r="K52" s="47">
        <v>5</v>
      </c>
      <c r="L52" s="47">
        <f t="shared" si="10"/>
        <v>2018</v>
      </c>
      <c r="M52" s="48">
        <f t="shared" si="11"/>
        <v>2018.6666666666667</v>
      </c>
      <c r="N52" s="5">
        <v>23110.11</v>
      </c>
      <c r="O52" s="5">
        <f t="shared" si="12"/>
        <v>23110.11</v>
      </c>
      <c r="P52" s="5">
        <f t="shared" si="13"/>
        <v>385.16849999999999</v>
      </c>
      <c r="Q52" s="5">
        <f t="shared" si="14"/>
        <v>4622.0219999999999</v>
      </c>
      <c r="R52" s="5">
        <f t="shared" si="15"/>
        <v>0</v>
      </c>
      <c r="S52" s="5">
        <f t="shared" si="16"/>
        <v>23110.11</v>
      </c>
      <c r="T52" s="5">
        <f t="shared" si="17"/>
        <v>23110.11</v>
      </c>
      <c r="U52" s="5">
        <f t="shared" si="18"/>
        <v>0</v>
      </c>
    </row>
    <row r="53" spans="1:21">
      <c r="A53" s="47" t="s">
        <v>468</v>
      </c>
      <c r="B53" s="47">
        <v>6051</v>
      </c>
      <c r="C53" s="47" t="s">
        <v>750</v>
      </c>
      <c r="D53" s="47">
        <v>119073</v>
      </c>
      <c r="G53" s="47">
        <v>2015</v>
      </c>
      <c r="H53" s="47">
        <v>1</v>
      </c>
      <c r="I53" s="47">
        <v>0</v>
      </c>
      <c r="J53" s="47" t="s">
        <v>30</v>
      </c>
      <c r="K53" s="47">
        <v>5</v>
      </c>
      <c r="L53" s="47">
        <f t="shared" si="10"/>
        <v>2020</v>
      </c>
      <c r="M53" s="48">
        <f t="shared" si="11"/>
        <v>2020.0833333333333</v>
      </c>
      <c r="N53" s="5">
        <v>27000</v>
      </c>
      <c r="O53" s="5">
        <f t="shared" si="12"/>
        <v>27000</v>
      </c>
      <c r="P53" s="5">
        <f t="shared" si="13"/>
        <v>450</v>
      </c>
      <c r="Q53" s="5">
        <f t="shared" si="14"/>
        <v>5400</v>
      </c>
      <c r="R53" s="5">
        <f t="shared" si="15"/>
        <v>5400</v>
      </c>
      <c r="S53" s="5">
        <f t="shared" si="16"/>
        <v>16200</v>
      </c>
      <c r="T53" s="5">
        <f t="shared" si="17"/>
        <v>21600</v>
      </c>
      <c r="U53" s="5">
        <f t="shared" si="18"/>
        <v>5400</v>
      </c>
    </row>
    <row r="54" spans="1:21">
      <c r="B54" s="47">
        <v>6055</v>
      </c>
      <c r="C54" s="47" t="s">
        <v>805</v>
      </c>
      <c r="D54" s="47">
        <v>128672</v>
      </c>
      <c r="G54" s="47">
        <v>2015</v>
      </c>
      <c r="H54" s="47">
        <v>12</v>
      </c>
      <c r="I54" s="47">
        <v>0</v>
      </c>
      <c r="J54" s="47" t="s">
        <v>30</v>
      </c>
      <c r="K54" s="47">
        <v>7</v>
      </c>
      <c r="L54" s="47">
        <f t="shared" si="10"/>
        <v>2022</v>
      </c>
      <c r="M54" s="48">
        <f t="shared" si="11"/>
        <v>2023</v>
      </c>
      <c r="N54" s="5">
        <v>73306.22</v>
      </c>
      <c r="O54" s="5">
        <f t="shared" si="12"/>
        <v>73306.22</v>
      </c>
      <c r="P54" s="5">
        <f t="shared" si="13"/>
        <v>872.69309523809522</v>
      </c>
      <c r="Q54" s="5">
        <f t="shared" si="14"/>
        <v>10472.317142857142</v>
      </c>
      <c r="R54" s="5">
        <f t="shared" si="15"/>
        <v>10472.317142857142</v>
      </c>
      <c r="S54" s="5">
        <f t="shared" si="16"/>
        <v>31416.951428571425</v>
      </c>
      <c r="T54" s="5">
        <f t="shared" si="17"/>
        <v>41889.268571428569</v>
      </c>
      <c r="U54" s="5">
        <f t="shared" si="18"/>
        <v>31416.951428571432</v>
      </c>
    </row>
    <row r="55" spans="1:21">
      <c r="C55" s="47" t="s">
        <v>927</v>
      </c>
      <c r="D55" s="47">
        <v>197201</v>
      </c>
      <c r="G55" s="47">
        <v>2018</v>
      </c>
      <c r="H55" s="47">
        <v>5</v>
      </c>
      <c r="I55" s="47">
        <v>0</v>
      </c>
      <c r="J55" s="47" t="s">
        <v>30</v>
      </c>
      <c r="K55" s="47">
        <v>10</v>
      </c>
      <c r="L55" s="47">
        <f t="shared" si="10"/>
        <v>2028</v>
      </c>
      <c r="M55" s="48">
        <f t="shared" si="11"/>
        <v>2028.4166666666667</v>
      </c>
      <c r="N55" s="5">
        <v>86454.44</v>
      </c>
      <c r="O55" s="5">
        <f t="shared" si="12"/>
        <v>86454.44</v>
      </c>
      <c r="P55" s="5">
        <f t="shared" si="13"/>
        <v>720.45366666666666</v>
      </c>
      <c r="Q55" s="5">
        <f t="shared" si="14"/>
        <v>8645.4439999999995</v>
      </c>
      <c r="R55" s="5">
        <f t="shared" si="15"/>
        <v>8645.4439999999995</v>
      </c>
      <c r="S55" s="5">
        <f t="shared" si="16"/>
        <v>0</v>
      </c>
      <c r="T55" s="5">
        <f t="shared" si="17"/>
        <v>8645.4439999999995</v>
      </c>
      <c r="U55" s="5">
        <f t="shared" si="18"/>
        <v>77808.995999999999</v>
      </c>
    </row>
    <row r="56" spans="1:21">
      <c r="C56" s="47" t="s">
        <v>929</v>
      </c>
      <c r="D56" s="47">
        <v>201090</v>
      </c>
      <c r="E56" s="47">
        <v>197201</v>
      </c>
      <c r="G56" s="47">
        <v>2018</v>
      </c>
      <c r="H56" s="47">
        <v>5</v>
      </c>
      <c r="I56" s="47">
        <v>0</v>
      </c>
      <c r="J56" s="47" t="s">
        <v>30</v>
      </c>
      <c r="K56" s="47">
        <v>10</v>
      </c>
      <c r="L56" s="47">
        <f t="shared" si="10"/>
        <v>2028</v>
      </c>
      <c r="M56" s="48">
        <f t="shared" si="11"/>
        <v>2028.4166666666667</v>
      </c>
      <c r="N56" s="5">
        <v>-424</v>
      </c>
      <c r="O56" s="5">
        <f t="shared" si="12"/>
        <v>-424</v>
      </c>
      <c r="P56" s="5">
        <f t="shared" si="13"/>
        <v>-3.5333333333333332</v>
      </c>
      <c r="Q56" s="5">
        <f t="shared" si="14"/>
        <v>-42.4</v>
      </c>
      <c r="R56" s="5">
        <f t="shared" si="15"/>
        <v>-42.4</v>
      </c>
      <c r="S56" s="5">
        <f t="shared" si="16"/>
        <v>0</v>
      </c>
      <c r="T56" s="5">
        <f t="shared" si="17"/>
        <v>-42.4</v>
      </c>
      <c r="U56" s="5">
        <f t="shared" si="18"/>
        <v>-381.6</v>
      </c>
    </row>
    <row r="57" spans="1:21">
      <c r="C57" s="47" t="s">
        <v>928</v>
      </c>
      <c r="D57" s="47">
        <v>199116</v>
      </c>
      <c r="E57" s="47">
        <v>197201</v>
      </c>
      <c r="G57" s="47">
        <v>2018</v>
      </c>
      <c r="H57" s="47">
        <v>6</v>
      </c>
      <c r="I57" s="47">
        <v>0</v>
      </c>
      <c r="J57" s="47" t="s">
        <v>30</v>
      </c>
      <c r="K57" s="47">
        <v>5</v>
      </c>
      <c r="L57" s="47">
        <f t="shared" si="10"/>
        <v>2023</v>
      </c>
      <c r="M57" s="48">
        <f t="shared" si="11"/>
        <v>2023.5</v>
      </c>
      <c r="N57" s="5">
        <v>1453.57</v>
      </c>
      <c r="O57" s="5">
        <f t="shared" si="12"/>
        <v>1453.57</v>
      </c>
      <c r="P57" s="5">
        <f t="shared" si="13"/>
        <v>24.226166666666668</v>
      </c>
      <c r="Q57" s="5">
        <f t="shared" si="14"/>
        <v>290.714</v>
      </c>
      <c r="R57" s="5">
        <f t="shared" si="15"/>
        <v>290.714</v>
      </c>
      <c r="S57" s="5">
        <f t="shared" si="16"/>
        <v>0</v>
      </c>
      <c r="T57" s="5">
        <f t="shared" si="17"/>
        <v>290.714</v>
      </c>
      <c r="U57" s="5">
        <f t="shared" si="18"/>
        <v>1162.856</v>
      </c>
    </row>
    <row r="58" spans="1:21">
      <c r="C58" s="47" t="s">
        <v>1043</v>
      </c>
      <c r="D58" s="47">
        <v>202663</v>
      </c>
      <c r="E58" s="47">
        <v>197201</v>
      </c>
      <c r="G58" s="47">
        <v>2018</v>
      </c>
      <c r="H58" s="47">
        <v>5</v>
      </c>
      <c r="I58" s="47">
        <v>0</v>
      </c>
      <c r="J58" s="47" t="s">
        <v>30</v>
      </c>
      <c r="K58" s="47">
        <v>10</v>
      </c>
      <c r="L58" s="47">
        <f t="shared" si="10"/>
        <v>2028</v>
      </c>
      <c r="M58" s="48">
        <f t="shared" si="11"/>
        <v>2028.4166666666667</v>
      </c>
      <c r="N58" s="5">
        <v>952.44</v>
      </c>
      <c r="O58" s="5">
        <f t="shared" si="12"/>
        <v>952.44</v>
      </c>
      <c r="P58" s="5">
        <f t="shared" si="13"/>
        <v>7.9370000000000003</v>
      </c>
      <c r="Q58" s="5">
        <f t="shared" si="14"/>
        <v>95.244</v>
      </c>
      <c r="R58" s="5">
        <f t="shared" si="15"/>
        <v>95.244</v>
      </c>
      <c r="S58" s="5">
        <f t="shared" si="16"/>
        <v>0</v>
      </c>
      <c r="T58" s="5">
        <f t="shared" si="17"/>
        <v>95.244</v>
      </c>
      <c r="U58" s="5">
        <f t="shared" si="18"/>
        <v>857.19600000000003</v>
      </c>
    </row>
    <row r="60" spans="1:21">
      <c r="L60" s="3" t="s">
        <v>365</v>
      </c>
      <c r="M60" s="32"/>
      <c r="N60" s="9">
        <f>SUM(N43:N59)</f>
        <v>332036.98</v>
      </c>
      <c r="O60" s="9">
        <f t="shared" ref="O60:U60" si="19">SUM(O43:O59)</f>
        <v>332036.98</v>
      </c>
      <c r="P60" s="9">
        <f t="shared" si="19"/>
        <v>4705.8868412698403</v>
      </c>
      <c r="Q60" s="9">
        <f t="shared" si="19"/>
        <v>56470.642095238094</v>
      </c>
      <c r="R60" s="9">
        <f t="shared" si="19"/>
        <v>30074.705809523806</v>
      </c>
      <c r="S60" s="9">
        <f t="shared" si="19"/>
        <v>180484.48809523811</v>
      </c>
      <c r="T60" s="9">
        <f t="shared" si="19"/>
        <v>210559.19390476192</v>
      </c>
      <c r="U60" s="9">
        <f t="shared" si="19"/>
        <v>121477.78609523809</v>
      </c>
    </row>
    <row r="63" spans="1:21">
      <c r="B63" s="4" t="s">
        <v>366</v>
      </c>
    </row>
    <row r="64" spans="1:21">
      <c r="C64" s="47" t="s">
        <v>389</v>
      </c>
      <c r="D64" s="47">
        <v>73374</v>
      </c>
      <c r="G64" s="47">
        <v>2010</v>
      </c>
      <c r="H64" s="47">
        <v>3</v>
      </c>
      <c r="I64" s="47">
        <v>0</v>
      </c>
      <c r="J64" s="47" t="s">
        <v>30</v>
      </c>
      <c r="K64" s="47">
        <v>3</v>
      </c>
      <c r="L64" s="47">
        <f t="shared" ref="L64:L95" si="20">G64+K64</f>
        <v>2013</v>
      </c>
      <c r="M64" s="48">
        <f t="shared" ref="M64:M102" si="21">+L64+(H64/12)</f>
        <v>2013.25</v>
      </c>
      <c r="N64" s="5">
        <v>1558.9</v>
      </c>
      <c r="O64" s="5">
        <f>N64-N64*I64</f>
        <v>1558.9</v>
      </c>
      <c r="P64" s="5">
        <f>O64/K64/12</f>
        <v>43.302777777777777</v>
      </c>
      <c r="Q64" s="5">
        <f t="shared" ref="Q64:Q102" si="22">P64*12</f>
        <v>519.63333333333333</v>
      </c>
      <c r="R64" s="5">
        <f>+IF(M64&lt;=$O$5,0,IF(L64&gt;$O$4,Q64,(P64*H64)))</f>
        <v>0</v>
      </c>
      <c r="S64" s="5">
        <f>+IF(R64=0,N64,IF($O$3-G64&lt;1,0,(($O$3-G64)*Q64)))</f>
        <v>1558.9</v>
      </c>
      <c r="T64" s="5">
        <f>+IF(R64=0,S64,S64+R64)</f>
        <v>1558.9</v>
      </c>
      <c r="U64" s="5">
        <f>+N64-T64</f>
        <v>0</v>
      </c>
    </row>
    <row r="65" spans="2:21">
      <c r="C65" s="47" t="s">
        <v>388</v>
      </c>
      <c r="D65" s="47">
        <v>72971</v>
      </c>
      <c r="G65" s="47">
        <v>2010</v>
      </c>
      <c r="H65" s="47">
        <v>3</v>
      </c>
      <c r="I65" s="47">
        <v>0</v>
      </c>
      <c r="J65" s="47" t="s">
        <v>30</v>
      </c>
      <c r="K65" s="47">
        <v>3</v>
      </c>
      <c r="L65" s="47">
        <f t="shared" si="20"/>
        <v>2013</v>
      </c>
      <c r="M65" s="48">
        <f t="shared" si="21"/>
        <v>2013.25</v>
      </c>
      <c r="N65" s="5">
        <v>20775</v>
      </c>
      <c r="O65" s="5">
        <f t="shared" ref="O65:O102" si="23">N65-N65*I65</f>
        <v>20775</v>
      </c>
      <c r="P65" s="5">
        <f t="shared" ref="P65:P102" si="24">O65/K65/12</f>
        <v>577.08333333333337</v>
      </c>
      <c r="Q65" s="5">
        <f t="shared" si="22"/>
        <v>6925</v>
      </c>
      <c r="R65" s="5">
        <f t="shared" ref="R65:R107" si="25">+IF(M65&lt;=$O$5,0,IF(L65&gt;$O$4,Q65,(P65*H65)))</f>
        <v>0</v>
      </c>
      <c r="S65" s="5">
        <f t="shared" ref="S65:S107" si="26">+IF(R65=0,N65,IF($O$3-G65&lt;1,0,(($O$3-G65)*Q65)))</f>
        <v>20775</v>
      </c>
      <c r="T65" s="5">
        <f t="shared" ref="T65:T107" si="27">+IF(R65=0,S65,S65+R65)</f>
        <v>20775</v>
      </c>
      <c r="U65" s="5">
        <f t="shared" ref="U65:U107" si="28">+N65-T65</f>
        <v>0</v>
      </c>
    </row>
    <row r="66" spans="2:21">
      <c r="B66" s="47">
        <v>3</v>
      </c>
      <c r="C66" s="47" t="s">
        <v>387</v>
      </c>
      <c r="D66" s="47">
        <v>73815</v>
      </c>
      <c r="G66" s="47">
        <v>2010</v>
      </c>
      <c r="H66" s="47">
        <v>4</v>
      </c>
      <c r="I66" s="47">
        <v>0</v>
      </c>
      <c r="J66" s="47" t="s">
        <v>30</v>
      </c>
      <c r="K66" s="47">
        <v>3</v>
      </c>
      <c r="L66" s="47">
        <f t="shared" si="20"/>
        <v>2013</v>
      </c>
      <c r="M66" s="48">
        <f t="shared" si="21"/>
        <v>2013.3333333333333</v>
      </c>
      <c r="N66" s="5">
        <v>2625</v>
      </c>
      <c r="O66" s="5">
        <f t="shared" si="23"/>
        <v>2625</v>
      </c>
      <c r="P66" s="5">
        <f t="shared" si="24"/>
        <v>72.916666666666671</v>
      </c>
      <c r="Q66" s="5">
        <f t="shared" si="22"/>
        <v>875</v>
      </c>
      <c r="R66" s="5">
        <f t="shared" si="25"/>
        <v>0</v>
      </c>
      <c r="S66" s="5">
        <f t="shared" si="26"/>
        <v>2625</v>
      </c>
      <c r="T66" s="5">
        <f t="shared" si="27"/>
        <v>2625</v>
      </c>
      <c r="U66" s="5">
        <f t="shared" si="28"/>
        <v>0</v>
      </c>
    </row>
    <row r="67" spans="2:21">
      <c r="B67" s="47">
        <v>2</v>
      </c>
      <c r="C67" s="47" t="s">
        <v>386</v>
      </c>
      <c r="D67" s="47">
        <v>74451</v>
      </c>
      <c r="G67" s="47">
        <v>2010</v>
      </c>
      <c r="H67" s="47">
        <v>5</v>
      </c>
      <c r="I67" s="47">
        <v>0</v>
      </c>
      <c r="J67" s="47" t="s">
        <v>30</v>
      </c>
      <c r="K67" s="47">
        <v>3</v>
      </c>
      <c r="L67" s="47">
        <f t="shared" si="20"/>
        <v>2013</v>
      </c>
      <c r="M67" s="48">
        <f t="shared" si="21"/>
        <v>2013.4166666666667</v>
      </c>
      <c r="N67" s="5">
        <v>1574.93</v>
      </c>
      <c r="O67" s="5">
        <f t="shared" si="23"/>
        <v>1574.93</v>
      </c>
      <c r="P67" s="5">
        <f t="shared" si="24"/>
        <v>43.74805555555556</v>
      </c>
      <c r="Q67" s="5">
        <f t="shared" si="22"/>
        <v>524.97666666666669</v>
      </c>
      <c r="R67" s="5">
        <f t="shared" si="25"/>
        <v>0</v>
      </c>
      <c r="S67" s="5">
        <f t="shared" si="26"/>
        <v>1574.93</v>
      </c>
      <c r="T67" s="5">
        <f t="shared" si="27"/>
        <v>1574.93</v>
      </c>
      <c r="U67" s="5">
        <f t="shared" si="28"/>
        <v>0</v>
      </c>
    </row>
    <row r="68" spans="2:21">
      <c r="C68" s="47" t="s">
        <v>385</v>
      </c>
      <c r="D68" s="47">
        <v>76637</v>
      </c>
      <c r="G68" s="47">
        <v>2010</v>
      </c>
      <c r="H68" s="47">
        <v>8</v>
      </c>
      <c r="I68" s="47">
        <v>0</v>
      </c>
      <c r="J68" s="47" t="s">
        <v>30</v>
      </c>
      <c r="K68" s="47" t="s">
        <v>31</v>
      </c>
      <c r="L68" s="47">
        <f t="shared" si="20"/>
        <v>2015</v>
      </c>
      <c r="M68" s="48">
        <f t="shared" si="21"/>
        <v>2015.6666666666667</v>
      </c>
      <c r="N68" s="5">
        <v>2684.4</v>
      </c>
      <c r="O68" s="5">
        <f t="shared" si="23"/>
        <v>2684.4</v>
      </c>
      <c r="P68" s="5">
        <f t="shared" si="24"/>
        <v>44.74</v>
      </c>
      <c r="Q68" s="5">
        <f t="shared" si="22"/>
        <v>536.88</v>
      </c>
      <c r="R68" s="5">
        <f t="shared" si="25"/>
        <v>0</v>
      </c>
      <c r="S68" s="5">
        <f t="shared" si="26"/>
        <v>2684.4</v>
      </c>
      <c r="T68" s="5">
        <f t="shared" si="27"/>
        <v>2684.4</v>
      </c>
      <c r="U68" s="5">
        <f t="shared" si="28"/>
        <v>0</v>
      </c>
    </row>
    <row r="69" spans="2:21">
      <c r="C69" s="47" t="s">
        <v>528</v>
      </c>
      <c r="D69" s="47" t="s">
        <v>529</v>
      </c>
      <c r="E69" s="47">
        <v>80468</v>
      </c>
      <c r="G69" s="47">
        <v>2011</v>
      </c>
      <c r="H69" s="47">
        <v>3</v>
      </c>
      <c r="I69" s="47">
        <v>0</v>
      </c>
      <c r="J69" s="47" t="s">
        <v>30</v>
      </c>
      <c r="K69" s="47">
        <v>10</v>
      </c>
      <c r="L69" s="47">
        <f t="shared" si="20"/>
        <v>2021</v>
      </c>
      <c r="M69" s="48">
        <f t="shared" si="21"/>
        <v>2021.25</v>
      </c>
      <c r="N69" s="5">
        <f>188184.69+1695.95+1039.45+1695.95</f>
        <v>192616.04000000004</v>
      </c>
      <c r="O69" s="5">
        <f t="shared" si="23"/>
        <v>192616.04000000004</v>
      </c>
      <c r="P69" s="5">
        <f t="shared" si="24"/>
        <v>1605.1336666666668</v>
      </c>
      <c r="Q69" s="5">
        <f t="shared" si="22"/>
        <v>19261.604000000003</v>
      </c>
      <c r="R69" s="5">
        <f t="shared" si="25"/>
        <v>19261.604000000003</v>
      </c>
      <c r="S69" s="5">
        <f t="shared" si="26"/>
        <v>134831.22800000003</v>
      </c>
      <c r="T69" s="5">
        <f t="shared" si="27"/>
        <v>154092.83200000002</v>
      </c>
      <c r="U69" s="5">
        <f t="shared" si="28"/>
        <v>38523.208000000013</v>
      </c>
    </row>
    <row r="70" spans="2:21">
      <c r="C70" s="47" t="s">
        <v>530</v>
      </c>
      <c r="D70" s="47" t="s">
        <v>531</v>
      </c>
      <c r="E70" s="47">
        <v>80461</v>
      </c>
      <c r="G70" s="47">
        <v>2011</v>
      </c>
      <c r="H70" s="47">
        <v>3</v>
      </c>
      <c r="I70" s="47">
        <v>0</v>
      </c>
      <c r="J70" s="47" t="s">
        <v>30</v>
      </c>
      <c r="K70" s="47">
        <v>5</v>
      </c>
      <c r="L70" s="47">
        <f t="shared" si="20"/>
        <v>2016</v>
      </c>
      <c r="M70" s="48">
        <f t="shared" si="21"/>
        <v>2016.25</v>
      </c>
      <c r="N70" s="5">
        <f>97999.12+3960.18</f>
        <v>101959.29999999999</v>
      </c>
      <c r="O70" s="5">
        <f t="shared" si="23"/>
        <v>101959.29999999999</v>
      </c>
      <c r="P70" s="5">
        <f t="shared" si="24"/>
        <v>1699.3216666666665</v>
      </c>
      <c r="Q70" s="5">
        <f t="shared" si="22"/>
        <v>20391.859999999997</v>
      </c>
      <c r="R70" s="5">
        <f t="shared" si="25"/>
        <v>0</v>
      </c>
      <c r="S70" s="5">
        <f t="shared" si="26"/>
        <v>101959.29999999999</v>
      </c>
      <c r="T70" s="5">
        <f t="shared" si="27"/>
        <v>101959.29999999999</v>
      </c>
      <c r="U70" s="5">
        <f t="shared" si="28"/>
        <v>0</v>
      </c>
    </row>
    <row r="71" spans="2:21">
      <c r="B71" s="47">
        <v>1</v>
      </c>
      <c r="C71" s="47" t="s">
        <v>601</v>
      </c>
      <c r="D71" s="47">
        <v>86524</v>
      </c>
      <c r="G71" s="47">
        <v>2011</v>
      </c>
      <c r="H71" s="47">
        <v>7</v>
      </c>
      <c r="I71" s="47">
        <v>0</v>
      </c>
      <c r="J71" s="47" t="s">
        <v>30</v>
      </c>
      <c r="K71" s="47">
        <v>3</v>
      </c>
      <c r="L71" s="47">
        <f t="shared" si="20"/>
        <v>2014</v>
      </c>
      <c r="M71" s="48">
        <f t="shared" si="21"/>
        <v>2014.5833333333333</v>
      </c>
      <c r="N71" s="5">
        <v>1006.03</v>
      </c>
      <c r="O71" s="5">
        <f t="shared" si="23"/>
        <v>1006.03</v>
      </c>
      <c r="P71" s="5">
        <f t="shared" si="24"/>
        <v>27.945277777777775</v>
      </c>
      <c r="Q71" s="5">
        <f t="shared" si="22"/>
        <v>335.34333333333331</v>
      </c>
      <c r="R71" s="5">
        <f t="shared" si="25"/>
        <v>0</v>
      </c>
      <c r="S71" s="5">
        <f t="shared" si="26"/>
        <v>1006.03</v>
      </c>
      <c r="T71" s="5">
        <f t="shared" si="27"/>
        <v>1006.03</v>
      </c>
      <c r="U71" s="5">
        <f t="shared" si="28"/>
        <v>0</v>
      </c>
    </row>
    <row r="72" spans="2:21">
      <c r="B72" s="47">
        <v>1</v>
      </c>
      <c r="C72" s="47" t="s">
        <v>602</v>
      </c>
      <c r="D72" s="47">
        <v>87203</v>
      </c>
      <c r="G72" s="47">
        <v>2011</v>
      </c>
      <c r="H72" s="47">
        <v>10</v>
      </c>
      <c r="I72" s="47">
        <v>0</v>
      </c>
      <c r="J72" s="47" t="s">
        <v>30</v>
      </c>
      <c r="K72" s="47">
        <v>3</v>
      </c>
      <c r="L72" s="47">
        <f t="shared" si="20"/>
        <v>2014</v>
      </c>
      <c r="M72" s="48">
        <f t="shared" si="21"/>
        <v>2014.8333333333333</v>
      </c>
      <c r="N72" s="5">
        <v>1549.26</v>
      </c>
      <c r="O72" s="5">
        <f t="shared" si="23"/>
        <v>1549.26</v>
      </c>
      <c r="P72" s="5">
        <f t="shared" si="24"/>
        <v>43.034999999999997</v>
      </c>
      <c r="Q72" s="5">
        <f t="shared" si="22"/>
        <v>516.41999999999996</v>
      </c>
      <c r="R72" s="5">
        <f t="shared" si="25"/>
        <v>0</v>
      </c>
      <c r="S72" s="5">
        <f t="shared" si="26"/>
        <v>1549.26</v>
      </c>
      <c r="T72" s="5">
        <f t="shared" si="27"/>
        <v>1549.26</v>
      </c>
      <c r="U72" s="5">
        <f t="shared" si="28"/>
        <v>0</v>
      </c>
    </row>
    <row r="73" spans="2:21">
      <c r="B73" s="47">
        <v>2</v>
      </c>
      <c r="C73" s="47" t="s">
        <v>387</v>
      </c>
      <c r="D73" s="47">
        <v>88248</v>
      </c>
      <c r="G73" s="47">
        <v>2011</v>
      </c>
      <c r="H73" s="47">
        <v>12</v>
      </c>
      <c r="I73" s="47">
        <v>0</v>
      </c>
      <c r="J73" s="47" t="s">
        <v>30</v>
      </c>
      <c r="K73" s="47">
        <v>3</v>
      </c>
      <c r="L73" s="47">
        <f t="shared" si="20"/>
        <v>2014</v>
      </c>
      <c r="M73" s="48">
        <f t="shared" si="21"/>
        <v>2015</v>
      </c>
      <c r="N73" s="5">
        <v>1750</v>
      </c>
      <c r="O73" s="5">
        <f t="shared" si="23"/>
        <v>1750</v>
      </c>
      <c r="P73" s="5">
        <f t="shared" si="24"/>
        <v>48.611111111111114</v>
      </c>
      <c r="Q73" s="5">
        <f t="shared" si="22"/>
        <v>583.33333333333337</v>
      </c>
      <c r="R73" s="5">
        <f t="shared" si="25"/>
        <v>0</v>
      </c>
      <c r="S73" s="5">
        <f t="shared" si="26"/>
        <v>1750</v>
      </c>
      <c r="T73" s="5">
        <f t="shared" si="27"/>
        <v>1750</v>
      </c>
      <c r="U73" s="5">
        <f t="shared" si="28"/>
        <v>0</v>
      </c>
    </row>
    <row r="74" spans="2:21">
      <c r="B74" s="47">
        <v>1</v>
      </c>
      <c r="C74" s="47" t="s">
        <v>626</v>
      </c>
      <c r="D74" s="47">
        <v>90464</v>
      </c>
      <c r="G74" s="47">
        <v>2012</v>
      </c>
      <c r="H74" s="47">
        <v>1</v>
      </c>
      <c r="I74" s="47">
        <v>0</v>
      </c>
      <c r="J74" s="47" t="s">
        <v>30</v>
      </c>
      <c r="K74" s="47">
        <v>5</v>
      </c>
      <c r="L74" s="47">
        <f t="shared" si="20"/>
        <v>2017</v>
      </c>
      <c r="M74" s="48">
        <f t="shared" si="21"/>
        <v>2017.0833333333333</v>
      </c>
      <c r="N74" s="5">
        <v>564.44000000000005</v>
      </c>
      <c r="O74" s="5">
        <f t="shared" si="23"/>
        <v>564.44000000000005</v>
      </c>
      <c r="P74" s="5">
        <f t="shared" si="24"/>
        <v>9.4073333333333338</v>
      </c>
      <c r="Q74" s="5">
        <f t="shared" si="22"/>
        <v>112.88800000000001</v>
      </c>
      <c r="R74" s="5">
        <f t="shared" si="25"/>
        <v>0</v>
      </c>
      <c r="S74" s="5">
        <f t="shared" si="26"/>
        <v>564.44000000000005</v>
      </c>
      <c r="T74" s="5">
        <f t="shared" si="27"/>
        <v>564.44000000000005</v>
      </c>
      <c r="U74" s="5">
        <f t="shared" si="28"/>
        <v>0</v>
      </c>
    </row>
    <row r="75" spans="2:21">
      <c r="B75" s="47">
        <v>1</v>
      </c>
      <c r="C75" s="47" t="s">
        <v>632</v>
      </c>
      <c r="D75" s="47">
        <v>93455</v>
      </c>
      <c r="G75" s="47">
        <v>2012</v>
      </c>
      <c r="H75" s="47">
        <v>4</v>
      </c>
      <c r="I75" s="47">
        <v>0</v>
      </c>
      <c r="J75" s="47" t="s">
        <v>30</v>
      </c>
      <c r="K75" s="47">
        <v>5</v>
      </c>
      <c r="L75" s="47">
        <f t="shared" si="20"/>
        <v>2017</v>
      </c>
      <c r="M75" s="48">
        <f t="shared" si="21"/>
        <v>2017.3333333333333</v>
      </c>
      <c r="N75" s="5">
        <v>743.32</v>
      </c>
      <c r="O75" s="5">
        <f t="shared" si="23"/>
        <v>743.32</v>
      </c>
      <c r="P75" s="5">
        <f t="shared" si="24"/>
        <v>12.388666666666667</v>
      </c>
      <c r="Q75" s="5">
        <f t="shared" si="22"/>
        <v>148.66400000000002</v>
      </c>
      <c r="R75" s="5">
        <f t="shared" si="25"/>
        <v>0</v>
      </c>
      <c r="S75" s="5">
        <f t="shared" si="26"/>
        <v>743.32</v>
      </c>
      <c r="T75" s="5">
        <f t="shared" si="27"/>
        <v>743.32</v>
      </c>
      <c r="U75" s="5">
        <f t="shared" si="28"/>
        <v>0</v>
      </c>
    </row>
    <row r="76" spans="2:21">
      <c r="C76" s="47" t="s">
        <v>668</v>
      </c>
      <c r="D76" s="47">
        <v>103617</v>
      </c>
      <c r="G76" s="47">
        <v>2013</v>
      </c>
      <c r="H76" s="47">
        <v>4</v>
      </c>
      <c r="I76" s="47">
        <v>0</v>
      </c>
      <c r="J76" s="47" t="s">
        <v>30</v>
      </c>
      <c r="K76" s="47">
        <v>3</v>
      </c>
      <c r="L76" s="47">
        <f t="shared" si="20"/>
        <v>2016</v>
      </c>
      <c r="M76" s="48">
        <f t="shared" si="21"/>
        <v>2016.3333333333333</v>
      </c>
      <c r="N76" s="5">
        <v>1019.36</v>
      </c>
      <c r="O76" s="5">
        <f t="shared" si="23"/>
        <v>1019.36</v>
      </c>
      <c r="P76" s="5">
        <f t="shared" si="24"/>
        <v>28.315555555555559</v>
      </c>
      <c r="Q76" s="5">
        <f t="shared" si="22"/>
        <v>339.78666666666669</v>
      </c>
      <c r="R76" s="5">
        <f t="shared" si="25"/>
        <v>0</v>
      </c>
      <c r="S76" s="5">
        <f t="shared" si="26"/>
        <v>1019.36</v>
      </c>
      <c r="T76" s="5">
        <f t="shared" si="27"/>
        <v>1019.36</v>
      </c>
      <c r="U76" s="5">
        <f t="shared" si="28"/>
        <v>0</v>
      </c>
    </row>
    <row r="77" spans="2:21">
      <c r="C77" s="47" t="s">
        <v>670</v>
      </c>
      <c r="D77" s="47">
        <v>105141</v>
      </c>
      <c r="G77" s="47">
        <v>2013</v>
      </c>
      <c r="H77" s="47">
        <v>6</v>
      </c>
      <c r="I77" s="47">
        <v>0</v>
      </c>
      <c r="J77" s="47" t="s">
        <v>30</v>
      </c>
      <c r="K77" s="47">
        <v>3</v>
      </c>
      <c r="L77" s="47">
        <f t="shared" si="20"/>
        <v>2016</v>
      </c>
      <c r="M77" s="48">
        <f t="shared" si="21"/>
        <v>2016.5</v>
      </c>
      <c r="N77" s="5">
        <v>1688.87</v>
      </c>
      <c r="O77" s="5">
        <f t="shared" si="23"/>
        <v>1688.87</v>
      </c>
      <c r="P77" s="5">
        <f t="shared" si="24"/>
        <v>46.913055555555552</v>
      </c>
      <c r="Q77" s="5">
        <f t="shared" si="22"/>
        <v>562.95666666666659</v>
      </c>
      <c r="R77" s="5">
        <f t="shared" si="25"/>
        <v>0</v>
      </c>
      <c r="S77" s="5">
        <f t="shared" si="26"/>
        <v>1688.87</v>
      </c>
      <c r="T77" s="5">
        <f t="shared" si="27"/>
        <v>1688.87</v>
      </c>
      <c r="U77" s="5">
        <f t="shared" si="28"/>
        <v>0</v>
      </c>
    </row>
    <row r="78" spans="2:21">
      <c r="C78" s="47" t="s">
        <v>680</v>
      </c>
      <c r="G78" s="47">
        <v>2013</v>
      </c>
      <c r="H78" s="47">
        <v>8</v>
      </c>
      <c r="I78" s="47">
        <v>0</v>
      </c>
      <c r="J78" s="47" t="s">
        <v>30</v>
      </c>
      <c r="K78" s="47">
        <v>5</v>
      </c>
      <c r="L78" s="47">
        <f t="shared" si="20"/>
        <v>2018</v>
      </c>
      <c r="M78" s="48">
        <f t="shared" si="21"/>
        <v>2018.6666666666667</v>
      </c>
      <c r="N78" s="5">
        <f>538492.81+47300.63</f>
        <v>585793.44000000006</v>
      </c>
      <c r="O78" s="5">
        <f t="shared" si="23"/>
        <v>585793.44000000006</v>
      </c>
      <c r="P78" s="5">
        <f t="shared" si="24"/>
        <v>9763.2240000000002</v>
      </c>
      <c r="Q78" s="5">
        <f t="shared" si="22"/>
        <v>117158.68799999999</v>
      </c>
      <c r="R78" s="5">
        <f t="shared" si="25"/>
        <v>0</v>
      </c>
      <c r="S78" s="5">
        <f t="shared" si="26"/>
        <v>585793.44000000006</v>
      </c>
      <c r="T78" s="5">
        <f t="shared" si="27"/>
        <v>585793.44000000006</v>
      </c>
      <c r="U78" s="5">
        <f t="shared" si="28"/>
        <v>0</v>
      </c>
    </row>
    <row r="79" spans="2:21">
      <c r="B79" s="47">
        <v>2</v>
      </c>
      <c r="C79" s="47" t="s">
        <v>387</v>
      </c>
      <c r="D79" s="47">
        <v>107737</v>
      </c>
      <c r="G79" s="47">
        <v>2013</v>
      </c>
      <c r="H79" s="47">
        <v>9</v>
      </c>
      <c r="I79" s="47">
        <v>0</v>
      </c>
      <c r="J79" s="47" t="s">
        <v>30</v>
      </c>
      <c r="K79" s="47">
        <v>3</v>
      </c>
      <c r="L79" s="47">
        <f t="shared" si="20"/>
        <v>2016</v>
      </c>
      <c r="M79" s="48">
        <f t="shared" si="21"/>
        <v>2016.75</v>
      </c>
      <c r="N79" s="5">
        <v>1904</v>
      </c>
      <c r="O79" s="5">
        <f t="shared" si="23"/>
        <v>1904</v>
      </c>
      <c r="P79" s="5">
        <f t="shared" si="24"/>
        <v>52.888888888888886</v>
      </c>
      <c r="Q79" s="5">
        <f t="shared" si="22"/>
        <v>634.66666666666663</v>
      </c>
      <c r="R79" s="5">
        <f t="shared" si="25"/>
        <v>0</v>
      </c>
      <c r="S79" s="5">
        <f t="shared" si="26"/>
        <v>1904</v>
      </c>
      <c r="T79" s="5">
        <f t="shared" si="27"/>
        <v>1904</v>
      </c>
      <c r="U79" s="5">
        <f t="shared" si="28"/>
        <v>0</v>
      </c>
    </row>
    <row r="80" spans="2:21">
      <c r="C80" s="47" t="s">
        <v>680</v>
      </c>
      <c r="D80" s="47" t="s">
        <v>688</v>
      </c>
      <c r="G80" s="47">
        <v>2013</v>
      </c>
      <c r="H80" s="47">
        <v>10</v>
      </c>
      <c r="I80" s="47">
        <v>0</v>
      </c>
      <c r="J80" s="47" t="s">
        <v>30</v>
      </c>
      <c r="K80" s="47">
        <v>5</v>
      </c>
      <c r="L80" s="47">
        <f t="shared" si="20"/>
        <v>2018</v>
      </c>
      <c r="M80" s="48">
        <f t="shared" si="21"/>
        <v>2018.8333333333333</v>
      </c>
      <c r="N80" s="5">
        <f>614.72+7131.39+503.75+35788.34</f>
        <v>44038.2</v>
      </c>
      <c r="O80" s="5">
        <f t="shared" si="23"/>
        <v>44038.2</v>
      </c>
      <c r="P80" s="5">
        <f t="shared" si="24"/>
        <v>733.96999999999991</v>
      </c>
      <c r="Q80" s="5">
        <f t="shared" si="22"/>
        <v>8807.64</v>
      </c>
      <c r="R80" s="5">
        <f t="shared" si="25"/>
        <v>0</v>
      </c>
      <c r="S80" s="5">
        <f t="shared" si="26"/>
        <v>44038.2</v>
      </c>
      <c r="T80" s="5">
        <f t="shared" si="27"/>
        <v>44038.2</v>
      </c>
      <c r="U80" s="5">
        <f t="shared" si="28"/>
        <v>0</v>
      </c>
    </row>
    <row r="81" spans="2:21">
      <c r="B81" s="47">
        <v>5</v>
      </c>
      <c r="C81" s="47" t="s">
        <v>687</v>
      </c>
      <c r="D81" s="47">
        <v>107879</v>
      </c>
      <c r="G81" s="47">
        <v>2013</v>
      </c>
      <c r="H81" s="47">
        <v>10</v>
      </c>
      <c r="I81" s="47">
        <v>0</v>
      </c>
      <c r="J81" s="47" t="s">
        <v>30</v>
      </c>
      <c r="K81" s="47">
        <v>5</v>
      </c>
      <c r="L81" s="47">
        <f t="shared" si="20"/>
        <v>2018</v>
      </c>
      <c r="M81" s="48">
        <f t="shared" si="21"/>
        <v>2018.8333333333333</v>
      </c>
      <c r="N81" s="5">
        <v>5412.81</v>
      </c>
      <c r="O81" s="5">
        <f t="shared" si="23"/>
        <v>5412.81</v>
      </c>
      <c r="P81" s="5">
        <f t="shared" si="24"/>
        <v>90.21350000000001</v>
      </c>
      <c r="Q81" s="5">
        <f t="shared" si="22"/>
        <v>1082.5620000000001</v>
      </c>
      <c r="R81" s="5">
        <f t="shared" si="25"/>
        <v>0</v>
      </c>
      <c r="S81" s="5">
        <f t="shared" si="26"/>
        <v>5412.81</v>
      </c>
      <c r="T81" s="5">
        <f t="shared" si="27"/>
        <v>5412.81</v>
      </c>
      <c r="U81" s="5">
        <f t="shared" si="28"/>
        <v>0</v>
      </c>
    </row>
    <row r="82" spans="2:21">
      <c r="C82" s="47" t="s">
        <v>694</v>
      </c>
      <c r="D82" s="47">
        <v>108970</v>
      </c>
      <c r="G82" s="47">
        <v>2013</v>
      </c>
      <c r="H82" s="47">
        <v>11</v>
      </c>
      <c r="I82" s="47">
        <v>0</v>
      </c>
      <c r="J82" s="47" t="s">
        <v>30</v>
      </c>
      <c r="K82" s="47">
        <v>3</v>
      </c>
      <c r="L82" s="47">
        <f t="shared" si="20"/>
        <v>2016</v>
      </c>
      <c r="M82" s="48">
        <f t="shared" si="21"/>
        <v>2016.9166666666667</v>
      </c>
      <c r="N82" s="5">
        <v>1504.24</v>
      </c>
      <c r="O82" s="5">
        <f t="shared" si="23"/>
        <v>1504.24</v>
      </c>
      <c r="P82" s="5">
        <f t="shared" si="24"/>
        <v>41.784444444444446</v>
      </c>
      <c r="Q82" s="5">
        <f t="shared" si="22"/>
        <v>501.41333333333336</v>
      </c>
      <c r="R82" s="5">
        <f t="shared" si="25"/>
        <v>0</v>
      </c>
      <c r="S82" s="5">
        <f t="shared" si="26"/>
        <v>1504.24</v>
      </c>
      <c r="T82" s="5">
        <f t="shared" si="27"/>
        <v>1504.24</v>
      </c>
      <c r="U82" s="5">
        <f t="shared" si="28"/>
        <v>0</v>
      </c>
    </row>
    <row r="83" spans="2:21">
      <c r="C83" s="47" t="s">
        <v>702</v>
      </c>
      <c r="D83" s="47">
        <v>111095</v>
      </c>
      <c r="G83" s="47">
        <v>2014</v>
      </c>
      <c r="H83" s="47">
        <v>2</v>
      </c>
      <c r="I83" s="47">
        <v>0</v>
      </c>
      <c r="J83" s="47" t="s">
        <v>30</v>
      </c>
      <c r="K83" s="47">
        <v>3</v>
      </c>
      <c r="L83" s="47">
        <f t="shared" si="20"/>
        <v>2017</v>
      </c>
      <c r="M83" s="48">
        <f t="shared" si="21"/>
        <v>2017.1666666666667</v>
      </c>
      <c r="N83" s="5">
        <v>1069.8599999999999</v>
      </c>
      <c r="O83" s="5">
        <f t="shared" si="23"/>
        <v>1069.8599999999999</v>
      </c>
      <c r="P83" s="5">
        <f t="shared" si="24"/>
        <v>29.71833333333333</v>
      </c>
      <c r="Q83" s="5">
        <f t="shared" si="22"/>
        <v>356.61999999999995</v>
      </c>
      <c r="R83" s="5">
        <f t="shared" si="25"/>
        <v>0</v>
      </c>
      <c r="S83" s="5">
        <f t="shared" si="26"/>
        <v>1069.8599999999999</v>
      </c>
      <c r="T83" s="5">
        <f t="shared" si="27"/>
        <v>1069.8599999999999</v>
      </c>
      <c r="U83" s="5">
        <f t="shared" si="28"/>
        <v>0</v>
      </c>
    </row>
    <row r="84" spans="2:21">
      <c r="C84" s="47" t="s">
        <v>702</v>
      </c>
      <c r="D84" s="47">
        <v>112600</v>
      </c>
      <c r="G84" s="47">
        <v>2014</v>
      </c>
      <c r="H84" s="47">
        <v>3</v>
      </c>
      <c r="I84" s="47">
        <v>0</v>
      </c>
      <c r="J84" s="47" t="s">
        <v>30</v>
      </c>
      <c r="K84" s="47">
        <v>3</v>
      </c>
      <c r="L84" s="47">
        <f t="shared" si="20"/>
        <v>2017</v>
      </c>
      <c r="M84" s="48">
        <f t="shared" si="21"/>
        <v>2017.25</v>
      </c>
      <c r="N84" s="5">
        <v>1017.56</v>
      </c>
      <c r="O84" s="5">
        <f t="shared" si="23"/>
        <v>1017.56</v>
      </c>
      <c r="P84" s="5">
        <f t="shared" si="24"/>
        <v>28.265555555555554</v>
      </c>
      <c r="Q84" s="5">
        <f t="shared" si="22"/>
        <v>339.18666666666667</v>
      </c>
      <c r="R84" s="5">
        <f t="shared" si="25"/>
        <v>0</v>
      </c>
      <c r="S84" s="5">
        <f t="shared" si="26"/>
        <v>1017.56</v>
      </c>
      <c r="T84" s="5">
        <f t="shared" si="27"/>
        <v>1017.56</v>
      </c>
      <c r="U84" s="5">
        <f t="shared" si="28"/>
        <v>0</v>
      </c>
    </row>
    <row r="85" spans="2:21">
      <c r="B85" s="47">
        <v>5</v>
      </c>
      <c r="C85" s="47" t="s">
        <v>708</v>
      </c>
      <c r="D85" s="47">
        <v>113271</v>
      </c>
      <c r="G85" s="47">
        <v>2014</v>
      </c>
      <c r="H85" s="47">
        <v>4</v>
      </c>
      <c r="I85" s="47">
        <v>0</v>
      </c>
      <c r="J85" s="47" t="s">
        <v>30</v>
      </c>
      <c r="K85" s="47">
        <v>3</v>
      </c>
      <c r="L85" s="47">
        <f t="shared" si="20"/>
        <v>2017</v>
      </c>
      <c r="M85" s="48">
        <f t="shared" si="21"/>
        <v>2017.3333333333333</v>
      </c>
      <c r="N85" s="5">
        <v>1641.48</v>
      </c>
      <c r="O85" s="5">
        <f t="shared" si="23"/>
        <v>1641.48</v>
      </c>
      <c r="P85" s="5">
        <f t="shared" si="24"/>
        <v>45.596666666666664</v>
      </c>
      <c r="Q85" s="5">
        <f t="shared" si="22"/>
        <v>547.16</v>
      </c>
      <c r="R85" s="5">
        <f t="shared" si="25"/>
        <v>0</v>
      </c>
      <c r="S85" s="5">
        <f t="shared" si="26"/>
        <v>1641.48</v>
      </c>
      <c r="T85" s="5">
        <f t="shared" si="27"/>
        <v>1641.48</v>
      </c>
      <c r="U85" s="5">
        <f t="shared" si="28"/>
        <v>0</v>
      </c>
    </row>
    <row r="86" spans="2:21">
      <c r="B86" s="47">
        <v>30</v>
      </c>
      <c r="C86" s="47" t="s">
        <v>753</v>
      </c>
      <c r="D86" s="47">
        <v>120653</v>
      </c>
      <c r="G86" s="47">
        <v>2015</v>
      </c>
      <c r="H86" s="47">
        <v>2</v>
      </c>
      <c r="I86" s="47">
        <v>0</v>
      </c>
      <c r="J86" s="47" t="s">
        <v>30</v>
      </c>
      <c r="K86" s="47">
        <v>3</v>
      </c>
      <c r="L86" s="47">
        <f t="shared" si="20"/>
        <v>2018</v>
      </c>
      <c r="M86" s="48">
        <f t="shared" si="21"/>
        <v>2018.1666666666667</v>
      </c>
      <c r="N86" s="5">
        <v>9908.6299999999992</v>
      </c>
      <c r="O86" s="5">
        <f t="shared" si="23"/>
        <v>9908.6299999999992</v>
      </c>
      <c r="P86" s="5">
        <f t="shared" si="24"/>
        <v>275.23972222222221</v>
      </c>
      <c r="Q86" s="5">
        <f t="shared" si="22"/>
        <v>3302.8766666666666</v>
      </c>
      <c r="R86" s="5">
        <f t="shared" si="25"/>
        <v>0</v>
      </c>
      <c r="S86" s="5">
        <f t="shared" si="26"/>
        <v>9908.6299999999992</v>
      </c>
      <c r="T86" s="5">
        <f t="shared" si="27"/>
        <v>9908.6299999999992</v>
      </c>
      <c r="U86" s="5">
        <f t="shared" si="28"/>
        <v>0</v>
      </c>
    </row>
    <row r="87" spans="2:21">
      <c r="B87" s="47">
        <v>6</v>
      </c>
      <c r="C87" s="47" t="s">
        <v>754</v>
      </c>
      <c r="D87" s="47">
        <v>120654</v>
      </c>
      <c r="G87" s="47">
        <v>2015</v>
      </c>
      <c r="H87" s="47">
        <v>2</v>
      </c>
      <c r="I87" s="47">
        <v>0</v>
      </c>
      <c r="J87" s="47" t="s">
        <v>30</v>
      </c>
      <c r="K87" s="47">
        <v>3</v>
      </c>
      <c r="L87" s="47">
        <f t="shared" si="20"/>
        <v>2018</v>
      </c>
      <c r="M87" s="48">
        <f t="shared" si="21"/>
        <v>2018.1666666666667</v>
      </c>
      <c r="N87" s="5">
        <v>4387.54</v>
      </c>
      <c r="O87" s="5">
        <f t="shared" si="23"/>
        <v>4387.54</v>
      </c>
      <c r="P87" s="5">
        <f t="shared" si="24"/>
        <v>121.87611111111111</v>
      </c>
      <c r="Q87" s="5">
        <f t="shared" si="22"/>
        <v>1462.5133333333333</v>
      </c>
      <c r="R87" s="5">
        <f t="shared" si="25"/>
        <v>0</v>
      </c>
      <c r="S87" s="5">
        <f t="shared" si="26"/>
        <v>4387.54</v>
      </c>
      <c r="T87" s="5">
        <f t="shared" si="27"/>
        <v>4387.54</v>
      </c>
      <c r="U87" s="5">
        <f t="shared" si="28"/>
        <v>0</v>
      </c>
    </row>
    <row r="88" spans="2:21">
      <c r="B88" s="47">
        <v>1</v>
      </c>
      <c r="C88" s="47" t="s">
        <v>757</v>
      </c>
      <c r="D88" s="47">
        <v>122828</v>
      </c>
      <c r="G88" s="47">
        <v>2015</v>
      </c>
      <c r="H88" s="47">
        <v>5</v>
      </c>
      <c r="I88" s="47">
        <v>0</v>
      </c>
      <c r="J88" s="47" t="s">
        <v>30</v>
      </c>
      <c r="K88" s="47">
        <v>3</v>
      </c>
      <c r="L88" s="47">
        <f t="shared" si="20"/>
        <v>2018</v>
      </c>
      <c r="M88" s="48">
        <f t="shared" si="21"/>
        <v>2018.4166666666667</v>
      </c>
      <c r="N88" s="5">
        <v>1096.6600000000001</v>
      </c>
      <c r="O88" s="5">
        <f t="shared" si="23"/>
        <v>1096.6600000000001</v>
      </c>
      <c r="P88" s="5">
        <f t="shared" si="24"/>
        <v>30.462777777777777</v>
      </c>
      <c r="Q88" s="5">
        <f t="shared" si="22"/>
        <v>365.55333333333334</v>
      </c>
      <c r="R88" s="5">
        <f t="shared" si="25"/>
        <v>0</v>
      </c>
      <c r="S88" s="5">
        <f t="shared" si="26"/>
        <v>1096.6600000000001</v>
      </c>
      <c r="T88" s="5">
        <f t="shared" si="27"/>
        <v>1096.6600000000001</v>
      </c>
      <c r="U88" s="5">
        <f t="shared" si="28"/>
        <v>0</v>
      </c>
    </row>
    <row r="89" spans="2:21">
      <c r="B89" s="47">
        <v>1</v>
      </c>
      <c r="C89" s="47" t="s">
        <v>758</v>
      </c>
      <c r="D89" s="47">
        <v>122829</v>
      </c>
      <c r="G89" s="47">
        <v>2015</v>
      </c>
      <c r="H89" s="47">
        <v>5</v>
      </c>
      <c r="I89" s="47">
        <v>0</v>
      </c>
      <c r="J89" s="47" t="s">
        <v>30</v>
      </c>
      <c r="K89" s="47">
        <v>3</v>
      </c>
      <c r="L89" s="47">
        <f t="shared" si="20"/>
        <v>2018</v>
      </c>
      <c r="M89" s="48">
        <f t="shared" si="21"/>
        <v>2018.4166666666667</v>
      </c>
      <c r="N89" s="5">
        <v>1084.92</v>
      </c>
      <c r="O89" s="5">
        <f t="shared" si="23"/>
        <v>1084.92</v>
      </c>
      <c r="P89" s="5">
        <f t="shared" si="24"/>
        <v>30.13666666666667</v>
      </c>
      <c r="Q89" s="5">
        <f t="shared" si="22"/>
        <v>361.64000000000004</v>
      </c>
      <c r="R89" s="5">
        <f t="shared" si="25"/>
        <v>0</v>
      </c>
      <c r="S89" s="5">
        <f t="shared" si="26"/>
        <v>1084.92</v>
      </c>
      <c r="T89" s="5">
        <f t="shared" si="27"/>
        <v>1084.92</v>
      </c>
      <c r="U89" s="5">
        <f t="shared" si="28"/>
        <v>0</v>
      </c>
    </row>
    <row r="90" spans="2:21">
      <c r="B90" s="47">
        <v>1</v>
      </c>
      <c r="C90" s="47" t="s">
        <v>754</v>
      </c>
      <c r="D90" s="47">
        <v>122830</v>
      </c>
      <c r="G90" s="47">
        <v>2015</v>
      </c>
      <c r="H90" s="47">
        <v>5</v>
      </c>
      <c r="I90" s="47">
        <v>0</v>
      </c>
      <c r="J90" s="47" t="s">
        <v>30</v>
      </c>
      <c r="K90" s="47">
        <v>3</v>
      </c>
      <c r="L90" s="47">
        <f t="shared" si="20"/>
        <v>2018</v>
      </c>
      <c r="M90" s="48">
        <f t="shared" si="21"/>
        <v>2018.4166666666667</v>
      </c>
      <c r="N90" s="5">
        <v>716.06</v>
      </c>
      <c r="O90" s="5">
        <f t="shared" si="23"/>
        <v>716.06</v>
      </c>
      <c r="P90" s="5">
        <f t="shared" si="24"/>
        <v>19.890555555555554</v>
      </c>
      <c r="Q90" s="5">
        <f t="shared" si="22"/>
        <v>238.68666666666667</v>
      </c>
      <c r="R90" s="5">
        <f t="shared" si="25"/>
        <v>0</v>
      </c>
      <c r="S90" s="5">
        <f t="shared" si="26"/>
        <v>716.06</v>
      </c>
      <c r="T90" s="5">
        <f t="shared" si="27"/>
        <v>716.06</v>
      </c>
      <c r="U90" s="5">
        <f t="shared" si="28"/>
        <v>0</v>
      </c>
    </row>
    <row r="91" spans="2:21">
      <c r="B91" s="47">
        <v>1</v>
      </c>
      <c r="C91" s="47" t="s">
        <v>757</v>
      </c>
      <c r="D91" s="47">
        <v>124285</v>
      </c>
      <c r="G91" s="47">
        <v>2015</v>
      </c>
      <c r="H91" s="47">
        <v>7</v>
      </c>
      <c r="I91" s="47">
        <v>0</v>
      </c>
      <c r="J91" s="47" t="s">
        <v>30</v>
      </c>
      <c r="K91" s="47">
        <v>3</v>
      </c>
      <c r="L91" s="47">
        <f t="shared" si="20"/>
        <v>2018</v>
      </c>
      <c r="M91" s="48">
        <f t="shared" si="21"/>
        <v>2018.5833333333333</v>
      </c>
      <c r="N91" s="5">
        <v>1034.5999999999999</v>
      </c>
      <c r="O91" s="5">
        <f t="shared" si="23"/>
        <v>1034.5999999999999</v>
      </c>
      <c r="P91" s="5">
        <f t="shared" si="24"/>
        <v>28.738888888888884</v>
      </c>
      <c r="Q91" s="5">
        <f t="shared" si="22"/>
        <v>344.86666666666662</v>
      </c>
      <c r="R91" s="5">
        <f t="shared" si="25"/>
        <v>0</v>
      </c>
      <c r="S91" s="5">
        <f t="shared" si="26"/>
        <v>1034.5999999999999</v>
      </c>
      <c r="T91" s="5">
        <f t="shared" si="27"/>
        <v>1034.5999999999999</v>
      </c>
      <c r="U91" s="5">
        <f t="shared" si="28"/>
        <v>0</v>
      </c>
    </row>
    <row r="92" spans="2:21">
      <c r="B92" s="47">
        <v>1</v>
      </c>
      <c r="C92" s="47" t="s">
        <v>810</v>
      </c>
      <c r="D92" s="47">
        <v>128908</v>
      </c>
      <c r="G92" s="47">
        <v>2015</v>
      </c>
      <c r="H92" s="47">
        <v>12</v>
      </c>
      <c r="I92" s="47">
        <v>0</v>
      </c>
      <c r="J92" s="47" t="s">
        <v>30</v>
      </c>
      <c r="K92" s="47">
        <v>3</v>
      </c>
      <c r="L92" s="47">
        <f t="shared" si="20"/>
        <v>2018</v>
      </c>
      <c r="M92" s="48">
        <f t="shared" si="21"/>
        <v>2019</v>
      </c>
      <c r="N92" s="5">
        <v>1087.92</v>
      </c>
      <c r="O92" s="5">
        <f t="shared" si="23"/>
        <v>1087.92</v>
      </c>
      <c r="P92" s="5">
        <f t="shared" si="24"/>
        <v>30.220000000000002</v>
      </c>
      <c r="Q92" s="5">
        <f t="shared" si="22"/>
        <v>362.64000000000004</v>
      </c>
      <c r="R92" s="5">
        <f t="shared" si="25"/>
        <v>0</v>
      </c>
      <c r="S92" s="5">
        <f t="shared" si="26"/>
        <v>1087.92</v>
      </c>
      <c r="T92" s="5">
        <f t="shared" si="27"/>
        <v>1087.92</v>
      </c>
      <c r="U92" s="5">
        <f t="shared" si="28"/>
        <v>0</v>
      </c>
    </row>
    <row r="93" spans="2:21">
      <c r="C93" s="47" t="s">
        <v>810</v>
      </c>
      <c r="D93" s="47">
        <v>128909</v>
      </c>
      <c r="G93" s="47">
        <v>2015</v>
      </c>
      <c r="H93" s="47">
        <v>12</v>
      </c>
      <c r="I93" s="47">
        <v>0</v>
      </c>
      <c r="J93" s="47" t="s">
        <v>30</v>
      </c>
      <c r="K93" s="47">
        <v>3</v>
      </c>
      <c r="L93" s="47">
        <f t="shared" si="20"/>
        <v>2018</v>
      </c>
      <c r="M93" s="48">
        <f t="shared" si="21"/>
        <v>2019</v>
      </c>
      <c r="N93" s="5">
        <v>1087.92</v>
      </c>
      <c r="O93" s="5">
        <f t="shared" si="23"/>
        <v>1087.92</v>
      </c>
      <c r="P93" s="5">
        <f t="shared" si="24"/>
        <v>30.220000000000002</v>
      </c>
      <c r="Q93" s="5">
        <f t="shared" si="22"/>
        <v>362.64000000000004</v>
      </c>
      <c r="R93" s="5">
        <f t="shared" si="25"/>
        <v>0</v>
      </c>
      <c r="S93" s="5">
        <f t="shared" si="26"/>
        <v>1087.92</v>
      </c>
      <c r="T93" s="5">
        <f t="shared" si="27"/>
        <v>1087.92</v>
      </c>
      <c r="U93" s="5">
        <f t="shared" si="28"/>
        <v>0</v>
      </c>
    </row>
    <row r="94" spans="2:21">
      <c r="C94" s="47" t="s">
        <v>824</v>
      </c>
      <c r="D94" s="47">
        <v>131296</v>
      </c>
      <c r="G94" s="47">
        <v>2016</v>
      </c>
      <c r="H94" s="47">
        <v>3</v>
      </c>
      <c r="I94" s="47">
        <v>0</v>
      </c>
      <c r="J94" s="47" t="s">
        <v>30</v>
      </c>
      <c r="K94" s="47">
        <v>3</v>
      </c>
      <c r="L94" s="47">
        <f t="shared" si="20"/>
        <v>2019</v>
      </c>
      <c r="M94" s="48">
        <f t="shared" si="21"/>
        <v>2019.25</v>
      </c>
      <c r="N94" s="5">
        <v>980.25</v>
      </c>
      <c r="O94" s="5">
        <f t="shared" si="23"/>
        <v>980.25</v>
      </c>
      <c r="P94" s="5">
        <f t="shared" si="24"/>
        <v>27.229166666666668</v>
      </c>
      <c r="Q94" s="5">
        <f t="shared" si="22"/>
        <v>326.75</v>
      </c>
      <c r="R94" s="5">
        <f t="shared" si="25"/>
        <v>0</v>
      </c>
      <c r="S94" s="5">
        <f t="shared" si="26"/>
        <v>980.25</v>
      </c>
      <c r="T94" s="5">
        <f t="shared" si="27"/>
        <v>980.25</v>
      </c>
      <c r="U94" s="5">
        <f t="shared" si="28"/>
        <v>0</v>
      </c>
    </row>
    <row r="95" spans="2:21">
      <c r="C95" s="47" t="s">
        <v>825</v>
      </c>
      <c r="D95" s="47">
        <v>131546</v>
      </c>
      <c r="G95" s="47">
        <v>2016</v>
      </c>
      <c r="H95" s="47">
        <v>3</v>
      </c>
      <c r="I95" s="47">
        <v>0</v>
      </c>
      <c r="J95" s="47" t="s">
        <v>30</v>
      </c>
      <c r="K95" s="47">
        <v>3</v>
      </c>
      <c r="L95" s="47">
        <f t="shared" si="20"/>
        <v>2019</v>
      </c>
      <c r="M95" s="48">
        <f t="shared" si="21"/>
        <v>2019.25</v>
      </c>
      <c r="N95" s="5">
        <v>155.91</v>
      </c>
      <c r="O95" s="5">
        <f t="shared" si="23"/>
        <v>155.91</v>
      </c>
      <c r="P95" s="5">
        <f t="shared" si="24"/>
        <v>4.3308333333333335</v>
      </c>
      <c r="Q95" s="5">
        <f t="shared" si="22"/>
        <v>51.97</v>
      </c>
      <c r="R95" s="5">
        <f t="shared" si="25"/>
        <v>0</v>
      </c>
      <c r="S95" s="5">
        <f t="shared" si="26"/>
        <v>155.91</v>
      </c>
      <c r="T95" s="5">
        <f t="shared" si="27"/>
        <v>155.91</v>
      </c>
      <c r="U95" s="5">
        <f t="shared" si="28"/>
        <v>0</v>
      </c>
    </row>
    <row r="96" spans="2:21">
      <c r="C96" s="47" t="s">
        <v>839</v>
      </c>
      <c r="D96" s="47">
        <v>169369</v>
      </c>
      <c r="G96" s="47">
        <v>2016</v>
      </c>
      <c r="H96" s="47">
        <v>10</v>
      </c>
      <c r="I96" s="47">
        <v>0</v>
      </c>
      <c r="J96" s="47" t="s">
        <v>30</v>
      </c>
      <c r="K96" s="47">
        <v>2</v>
      </c>
      <c r="L96" s="47">
        <f t="shared" ref="L96:L102" si="29">G96+K96</f>
        <v>2018</v>
      </c>
      <c r="M96" s="48">
        <f t="shared" si="21"/>
        <v>2018.8333333333333</v>
      </c>
      <c r="N96" s="5">
        <v>1311.95</v>
      </c>
      <c r="O96" s="5">
        <f t="shared" si="23"/>
        <v>1311.95</v>
      </c>
      <c r="P96" s="5">
        <f t="shared" si="24"/>
        <v>54.664583333333333</v>
      </c>
      <c r="Q96" s="5">
        <f t="shared" si="22"/>
        <v>655.97500000000002</v>
      </c>
      <c r="R96" s="5">
        <f t="shared" si="25"/>
        <v>0</v>
      </c>
      <c r="S96" s="5">
        <f t="shared" si="26"/>
        <v>1311.95</v>
      </c>
      <c r="T96" s="5">
        <f t="shared" si="27"/>
        <v>1311.95</v>
      </c>
      <c r="U96" s="5">
        <f t="shared" si="28"/>
        <v>0</v>
      </c>
    </row>
    <row r="97" spans="2:21">
      <c r="C97" s="47" t="s">
        <v>840</v>
      </c>
      <c r="D97" s="47">
        <v>170306</v>
      </c>
      <c r="G97" s="47">
        <v>2016</v>
      </c>
      <c r="H97" s="47">
        <v>10</v>
      </c>
      <c r="I97" s="47">
        <v>0</v>
      </c>
      <c r="J97" s="47" t="s">
        <v>30</v>
      </c>
      <c r="K97" s="47">
        <v>2</v>
      </c>
      <c r="L97" s="47">
        <f t="shared" si="29"/>
        <v>2018</v>
      </c>
      <c r="M97" s="48">
        <f t="shared" si="21"/>
        <v>2018.8333333333333</v>
      </c>
      <c r="N97" s="5">
        <v>123.9</v>
      </c>
      <c r="O97" s="5">
        <f t="shared" si="23"/>
        <v>123.9</v>
      </c>
      <c r="P97" s="5">
        <f t="shared" si="24"/>
        <v>5.1625000000000005</v>
      </c>
      <c r="Q97" s="5">
        <f t="shared" si="22"/>
        <v>61.95</v>
      </c>
      <c r="R97" s="5">
        <f t="shared" si="25"/>
        <v>0</v>
      </c>
      <c r="S97" s="5">
        <f t="shared" si="26"/>
        <v>123.9</v>
      </c>
      <c r="T97" s="5">
        <f t="shared" si="27"/>
        <v>123.9</v>
      </c>
      <c r="U97" s="5">
        <f t="shared" si="28"/>
        <v>0</v>
      </c>
    </row>
    <row r="98" spans="2:21">
      <c r="C98" s="47" t="s">
        <v>858</v>
      </c>
      <c r="D98" s="47">
        <v>179239</v>
      </c>
      <c r="G98" s="47">
        <v>2017</v>
      </c>
      <c r="H98" s="47">
        <v>3</v>
      </c>
      <c r="I98" s="47">
        <v>0</v>
      </c>
      <c r="J98" s="47" t="s">
        <v>30</v>
      </c>
      <c r="K98" s="47">
        <v>3</v>
      </c>
      <c r="L98" s="47">
        <f t="shared" si="29"/>
        <v>2020</v>
      </c>
      <c r="M98" s="48">
        <f t="shared" si="21"/>
        <v>2020.25</v>
      </c>
      <c r="N98" s="5">
        <v>1241.69</v>
      </c>
      <c r="O98" s="5">
        <f t="shared" si="23"/>
        <v>1241.69</v>
      </c>
      <c r="P98" s="5">
        <f t="shared" si="24"/>
        <v>34.491388888888892</v>
      </c>
      <c r="Q98" s="5">
        <f t="shared" si="22"/>
        <v>413.8966666666667</v>
      </c>
      <c r="R98" s="5">
        <f t="shared" si="25"/>
        <v>413.8966666666667</v>
      </c>
      <c r="S98" s="5">
        <f t="shared" si="26"/>
        <v>413.8966666666667</v>
      </c>
      <c r="T98" s="5">
        <f t="shared" si="27"/>
        <v>827.79333333333341</v>
      </c>
      <c r="U98" s="5">
        <f t="shared" si="28"/>
        <v>413.89666666666665</v>
      </c>
    </row>
    <row r="99" spans="2:21">
      <c r="C99" s="47" t="s">
        <v>859</v>
      </c>
      <c r="D99" s="47">
        <v>179238</v>
      </c>
      <c r="G99" s="47">
        <v>2017</v>
      </c>
      <c r="H99" s="47">
        <v>3</v>
      </c>
      <c r="I99" s="47">
        <v>0</v>
      </c>
      <c r="J99" s="47" t="s">
        <v>30</v>
      </c>
      <c r="K99" s="47">
        <v>3</v>
      </c>
      <c r="L99" s="47">
        <f t="shared" si="29"/>
        <v>2020</v>
      </c>
      <c r="M99" s="48">
        <f t="shared" si="21"/>
        <v>2020.25</v>
      </c>
      <c r="N99" s="5">
        <v>174.34</v>
      </c>
      <c r="O99" s="5">
        <f t="shared" si="23"/>
        <v>174.34</v>
      </c>
      <c r="P99" s="5">
        <f t="shared" si="24"/>
        <v>4.8427777777777781</v>
      </c>
      <c r="Q99" s="5">
        <f t="shared" si="22"/>
        <v>58.113333333333337</v>
      </c>
      <c r="R99" s="5">
        <f t="shared" si="25"/>
        <v>58.113333333333337</v>
      </c>
      <c r="S99" s="5">
        <f t="shared" si="26"/>
        <v>58.113333333333337</v>
      </c>
      <c r="T99" s="5">
        <f t="shared" si="27"/>
        <v>116.22666666666667</v>
      </c>
      <c r="U99" s="5">
        <f t="shared" si="28"/>
        <v>58.11333333333333</v>
      </c>
    </row>
    <row r="100" spans="2:21">
      <c r="C100" s="47" t="s">
        <v>848</v>
      </c>
      <c r="D100" s="47">
        <v>179237</v>
      </c>
      <c r="G100" s="47">
        <v>2017</v>
      </c>
      <c r="H100" s="47">
        <v>3</v>
      </c>
      <c r="I100" s="47">
        <v>0</v>
      </c>
      <c r="J100" s="47" t="s">
        <v>30</v>
      </c>
      <c r="K100" s="47">
        <v>3</v>
      </c>
      <c r="L100" s="47">
        <f t="shared" si="29"/>
        <v>2020</v>
      </c>
      <c r="M100" s="48">
        <f t="shared" si="21"/>
        <v>2020.25</v>
      </c>
      <c r="N100" s="5">
        <v>1021.58</v>
      </c>
      <c r="O100" s="5">
        <f t="shared" si="23"/>
        <v>1021.58</v>
      </c>
      <c r="P100" s="5">
        <f t="shared" si="24"/>
        <v>28.377222222222226</v>
      </c>
      <c r="Q100" s="5">
        <f t="shared" si="22"/>
        <v>340.5266666666667</v>
      </c>
      <c r="R100" s="5">
        <f t="shared" si="25"/>
        <v>340.5266666666667</v>
      </c>
      <c r="S100" s="5">
        <f t="shared" si="26"/>
        <v>340.5266666666667</v>
      </c>
      <c r="T100" s="5">
        <f t="shared" si="27"/>
        <v>681.0533333333334</v>
      </c>
      <c r="U100" s="5">
        <f t="shared" si="28"/>
        <v>340.52666666666664</v>
      </c>
    </row>
    <row r="101" spans="2:21">
      <c r="D101" s="47">
        <v>197532</v>
      </c>
      <c r="G101" s="47">
        <v>2018</v>
      </c>
      <c r="H101" s="47">
        <v>5</v>
      </c>
      <c r="I101" s="47">
        <v>0</v>
      </c>
      <c r="J101" s="47" t="s">
        <v>30</v>
      </c>
      <c r="K101" s="47">
        <v>3</v>
      </c>
      <c r="L101" s="47">
        <f t="shared" si="29"/>
        <v>2021</v>
      </c>
      <c r="M101" s="48">
        <f t="shared" si="21"/>
        <v>2021.4166666666667</v>
      </c>
      <c r="N101" s="5">
        <v>1334.12</v>
      </c>
      <c r="O101" s="5">
        <f t="shared" si="23"/>
        <v>1334.12</v>
      </c>
      <c r="P101" s="5">
        <f t="shared" si="24"/>
        <v>37.058888888888887</v>
      </c>
      <c r="Q101" s="5">
        <f t="shared" si="22"/>
        <v>444.70666666666665</v>
      </c>
      <c r="R101" s="5">
        <f t="shared" si="25"/>
        <v>444.70666666666665</v>
      </c>
      <c r="S101" s="5">
        <f t="shared" si="26"/>
        <v>0</v>
      </c>
      <c r="T101" s="5">
        <f t="shared" si="27"/>
        <v>444.70666666666665</v>
      </c>
      <c r="U101" s="5">
        <f t="shared" si="28"/>
        <v>889.41333333333318</v>
      </c>
    </row>
    <row r="102" spans="2:21" ht="12" customHeight="1">
      <c r="D102" s="47">
        <v>201179</v>
      </c>
      <c r="G102" s="47">
        <v>2018</v>
      </c>
      <c r="H102" s="47">
        <v>7</v>
      </c>
      <c r="I102" s="47">
        <v>0</v>
      </c>
      <c r="J102" s="47" t="s">
        <v>30</v>
      </c>
      <c r="K102" s="47">
        <v>3</v>
      </c>
      <c r="L102" s="47">
        <f t="shared" si="29"/>
        <v>2021</v>
      </c>
      <c r="M102" s="48">
        <f t="shared" si="21"/>
        <v>2021.5833333333333</v>
      </c>
      <c r="N102" s="5">
        <v>197.45</v>
      </c>
      <c r="O102" s="5">
        <f t="shared" si="23"/>
        <v>197.45</v>
      </c>
      <c r="P102" s="5">
        <f t="shared" si="24"/>
        <v>5.4847222222222216</v>
      </c>
      <c r="Q102" s="5">
        <f t="shared" si="22"/>
        <v>65.816666666666663</v>
      </c>
      <c r="R102" s="5">
        <f t="shared" si="25"/>
        <v>65.816666666666663</v>
      </c>
      <c r="S102" s="5">
        <f t="shared" si="26"/>
        <v>0</v>
      </c>
      <c r="T102" s="5">
        <f t="shared" si="27"/>
        <v>65.816666666666663</v>
      </c>
      <c r="U102" s="5">
        <f t="shared" si="28"/>
        <v>131.63333333333333</v>
      </c>
    </row>
    <row r="103" spans="2:21" ht="12" customHeight="1">
      <c r="C103" s="47" t="s">
        <v>1081</v>
      </c>
      <c r="D103" s="47">
        <v>202514</v>
      </c>
      <c r="G103" s="47">
        <v>2018</v>
      </c>
      <c r="H103" s="47">
        <v>7</v>
      </c>
      <c r="I103" s="47">
        <v>0</v>
      </c>
      <c r="J103" s="47" t="s">
        <v>30</v>
      </c>
      <c r="K103" s="47">
        <v>3</v>
      </c>
      <c r="L103" s="47">
        <f t="shared" ref="L103:L108" si="30">G103+K103</f>
        <v>2021</v>
      </c>
      <c r="M103" s="48">
        <f t="shared" ref="M103:M108" si="31">+L103+(H103/12)</f>
        <v>2021.5833333333333</v>
      </c>
      <c r="N103" s="5">
        <v>1111.06</v>
      </c>
      <c r="O103" s="5">
        <f t="shared" ref="O103:O108" si="32">N103-N103*I103</f>
        <v>1111.06</v>
      </c>
      <c r="P103" s="5">
        <f t="shared" ref="P103:P108" si="33">O103/K103/12</f>
        <v>30.862777777777776</v>
      </c>
      <c r="Q103" s="5">
        <f t="shared" ref="Q103:Q108" si="34">P103*12</f>
        <v>370.3533333333333</v>
      </c>
      <c r="R103" s="5">
        <f t="shared" si="25"/>
        <v>370.3533333333333</v>
      </c>
      <c r="S103" s="5">
        <f t="shared" si="26"/>
        <v>0</v>
      </c>
      <c r="T103" s="5">
        <f t="shared" si="27"/>
        <v>370.3533333333333</v>
      </c>
      <c r="U103" s="5">
        <f t="shared" si="28"/>
        <v>740.70666666666671</v>
      </c>
    </row>
    <row r="104" spans="2:21" ht="12" customHeight="1">
      <c r="C104" s="47" t="s">
        <v>1065</v>
      </c>
      <c r="D104" s="47">
        <v>204592</v>
      </c>
      <c r="G104" s="47">
        <v>2018</v>
      </c>
      <c r="H104" s="47">
        <v>9</v>
      </c>
      <c r="I104" s="47">
        <v>0</v>
      </c>
      <c r="J104" s="47" t="s">
        <v>30</v>
      </c>
      <c r="K104" s="47">
        <v>1</v>
      </c>
      <c r="L104" s="47">
        <f t="shared" si="30"/>
        <v>2019</v>
      </c>
      <c r="M104" s="48">
        <f t="shared" si="31"/>
        <v>2019.75</v>
      </c>
      <c r="N104" s="5">
        <v>15356.65</v>
      </c>
      <c r="O104" s="5">
        <f t="shared" si="32"/>
        <v>15356.65</v>
      </c>
      <c r="P104" s="5">
        <f t="shared" si="33"/>
        <v>1279.7208333333333</v>
      </c>
      <c r="Q104" s="5">
        <f t="shared" si="34"/>
        <v>15356.65</v>
      </c>
      <c r="R104" s="5">
        <f t="shared" si="25"/>
        <v>11517.487499999999</v>
      </c>
      <c r="S104" s="5">
        <f t="shared" si="26"/>
        <v>0</v>
      </c>
      <c r="T104" s="5">
        <f t="shared" si="27"/>
        <v>11517.487499999999</v>
      </c>
      <c r="U104" s="5">
        <f t="shared" si="28"/>
        <v>3839.1625000000004</v>
      </c>
    </row>
    <row r="105" spans="2:21" ht="12" customHeight="1">
      <c r="C105" s="47" t="s">
        <v>1066</v>
      </c>
      <c r="D105" s="47">
        <v>206246</v>
      </c>
      <c r="G105" s="47">
        <v>2018</v>
      </c>
      <c r="H105" s="47">
        <v>11</v>
      </c>
      <c r="I105" s="47">
        <v>0</v>
      </c>
      <c r="J105" s="47" t="s">
        <v>30</v>
      </c>
      <c r="K105" s="47">
        <v>3</v>
      </c>
      <c r="L105" s="47">
        <f t="shared" si="30"/>
        <v>2021</v>
      </c>
      <c r="M105" s="48">
        <f t="shared" si="31"/>
        <v>2021.9166666666667</v>
      </c>
      <c r="N105" s="5">
        <v>1484.41</v>
      </c>
      <c r="O105" s="5">
        <f t="shared" si="32"/>
        <v>1484.41</v>
      </c>
      <c r="P105" s="5">
        <f t="shared" si="33"/>
        <v>41.233611111111109</v>
      </c>
      <c r="Q105" s="5">
        <f t="shared" si="34"/>
        <v>494.80333333333328</v>
      </c>
      <c r="R105" s="5">
        <f t="shared" si="25"/>
        <v>494.80333333333328</v>
      </c>
      <c r="S105" s="5">
        <f t="shared" si="26"/>
        <v>0</v>
      </c>
      <c r="T105" s="5">
        <f t="shared" si="27"/>
        <v>494.80333333333328</v>
      </c>
      <c r="U105" s="5">
        <f t="shared" si="28"/>
        <v>989.6066666666668</v>
      </c>
    </row>
    <row r="106" spans="2:21" ht="12" customHeight="1">
      <c r="C106" s="47" t="s">
        <v>1116</v>
      </c>
      <c r="D106" s="47">
        <v>219050</v>
      </c>
      <c r="G106" s="47">
        <v>2019</v>
      </c>
      <c r="H106" s="47">
        <v>8</v>
      </c>
      <c r="I106" s="47">
        <v>0</v>
      </c>
      <c r="J106" s="47" t="s">
        <v>30</v>
      </c>
      <c r="K106" s="47">
        <v>3</v>
      </c>
      <c r="L106" s="47">
        <f t="shared" si="30"/>
        <v>2022</v>
      </c>
      <c r="M106" s="48">
        <f t="shared" si="31"/>
        <v>2022.6666666666667</v>
      </c>
      <c r="N106" s="5">
        <v>1408.73</v>
      </c>
      <c r="O106" s="5">
        <f t="shared" si="32"/>
        <v>1408.73</v>
      </c>
      <c r="P106" s="5">
        <f t="shared" si="33"/>
        <v>39.131388888888885</v>
      </c>
      <c r="Q106" s="5">
        <f t="shared" si="34"/>
        <v>469.5766666666666</v>
      </c>
      <c r="R106" s="5">
        <f t="shared" si="25"/>
        <v>469.5766666666666</v>
      </c>
      <c r="S106" s="5">
        <f t="shared" si="26"/>
        <v>0</v>
      </c>
      <c r="T106" s="5">
        <f t="shared" si="27"/>
        <v>469.5766666666666</v>
      </c>
      <c r="U106" s="5">
        <f t="shared" si="28"/>
        <v>939.15333333333342</v>
      </c>
    </row>
    <row r="107" spans="2:21" ht="12" customHeight="1">
      <c r="C107" s="47" t="s">
        <v>1119</v>
      </c>
      <c r="D107" s="47">
        <v>210007</v>
      </c>
      <c r="G107" s="47">
        <v>2019</v>
      </c>
      <c r="H107" s="47">
        <v>1</v>
      </c>
      <c r="I107" s="47">
        <v>0</v>
      </c>
      <c r="J107" s="47" t="s">
        <v>30</v>
      </c>
      <c r="K107" s="47">
        <v>3</v>
      </c>
      <c r="L107" s="47">
        <f t="shared" si="30"/>
        <v>2022</v>
      </c>
      <c r="M107" s="48">
        <f t="shared" si="31"/>
        <v>2022.0833333333333</v>
      </c>
      <c r="N107" s="5">
        <v>1670.66</v>
      </c>
      <c r="O107" s="5">
        <f t="shared" si="32"/>
        <v>1670.66</v>
      </c>
      <c r="P107" s="5">
        <f t="shared" si="33"/>
        <v>46.407222222222224</v>
      </c>
      <c r="Q107" s="5">
        <f t="shared" si="34"/>
        <v>556.88666666666666</v>
      </c>
      <c r="R107" s="5">
        <f t="shared" si="25"/>
        <v>556.88666666666666</v>
      </c>
      <c r="S107" s="5">
        <f t="shared" si="26"/>
        <v>0</v>
      </c>
      <c r="T107" s="5">
        <f t="shared" si="27"/>
        <v>556.88666666666666</v>
      </c>
      <c r="U107" s="5">
        <f t="shared" si="28"/>
        <v>1113.7733333333335</v>
      </c>
    </row>
    <row r="108" spans="2:21">
      <c r="C108" s="47" t="s">
        <v>1127</v>
      </c>
      <c r="D108" s="47" t="s">
        <v>1128</v>
      </c>
      <c r="G108" s="47">
        <v>2019</v>
      </c>
      <c r="H108" s="47">
        <v>8</v>
      </c>
      <c r="I108" s="47">
        <v>0</v>
      </c>
      <c r="J108" s="47" t="s">
        <v>30</v>
      </c>
      <c r="K108" s="47">
        <v>5</v>
      </c>
      <c r="L108" s="47">
        <f t="shared" si="30"/>
        <v>2024</v>
      </c>
      <c r="M108" s="48">
        <f t="shared" si="31"/>
        <v>2024.6666666666667</v>
      </c>
      <c r="N108" s="5">
        <f>1265.69+17409.41+1475.55</f>
        <v>20150.649999999998</v>
      </c>
      <c r="O108" s="5">
        <f t="shared" si="32"/>
        <v>20150.649999999998</v>
      </c>
      <c r="P108" s="5">
        <f t="shared" si="33"/>
        <v>335.84416666666664</v>
      </c>
      <c r="Q108" s="5">
        <f t="shared" si="34"/>
        <v>4030.1299999999997</v>
      </c>
      <c r="R108" s="5">
        <f>+IF(M108&lt;=$O$5,0,IF(L108&gt;$O$4,Q108,(P108*H108)))</f>
        <v>4030.1299999999997</v>
      </c>
      <c r="S108" s="5">
        <f>+IF(R108=0,N108,IF($O$3-G108&lt;1,0,(($O$3-G108)*Q108)))</f>
        <v>0</v>
      </c>
      <c r="T108" s="5">
        <f>+IF(R108=0,S108,S108+R108)</f>
        <v>4030.1299999999997</v>
      </c>
      <c r="U108" s="5">
        <f>+N108-T108</f>
        <v>16120.519999999999</v>
      </c>
    </row>
    <row r="110" spans="2:21">
      <c r="L110" s="3" t="s">
        <v>367</v>
      </c>
      <c r="M110" s="32"/>
      <c r="N110" s="9">
        <f>SUM(N64:N109)</f>
        <v>1042624.0400000004</v>
      </c>
      <c r="O110" s="9">
        <f t="shared" ref="O110:U110" si="35">SUM(O64:O109)</f>
        <v>1042624.0400000004</v>
      </c>
      <c r="P110" s="9">
        <f t="shared" si="35"/>
        <v>17630.150361111111</v>
      </c>
      <c r="Q110" s="9">
        <f t="shared" si="35"/>
        <v>211561.80433333342</v>
      </c>
      <c r="R110" s="9">
        <f t="shared" si="35"/>
        <v>38023.9015</v>
      </c>
      <c r="S110" s="9">
        <f t="shared" si="35"/>
        <v>940500.42466666689</v>
      </c>
      <c r="T110" s="9">
        <f t="shared" si="35"/>
        <v>978524.32616666728</v>
      </c>
      <c r="U110" s="9">
        <f t="shared" si="35"/>
        <v>64099.713833333335</v>
      </c>
    </row>
    <row r="112" spans="2:21">
      <c r="B112" s="4" t="s">
        <v>583</v>
      </c>
    </row>
    <row r="114" spans="1:21">
      <c r="A114" s="47" t="s">
        <v>178</v>
      </c>
      <c r="C114" s="47" t="s">
        <v>582</v>
      </c>
      <c r="G114" s="47">
        <v>2004</v>
      </c>
      <c r="H114" s="47">
        <v>9</v>
      </c>
      <c r="I114" s="47">
        <v>0</v>
      </c>
      <c r="J114" s="47" t="s">
        <v>30</v>
      </c>
      <c r="K114" s="47">
        <v>20</v>
      </c>
      <c r="L114" s="47">
        <f t="shared" ref="L114:L122" si="36">G114+K114</f>
        <v>2024</v>
      </c>
      <c r="M114" s="48">
        <f t="shared" ref="M114:M122" si="37">+L114+(H114/12)</f>
        <v>2024.75</v>
      </c>
      <c r="N114" s="5">
        <v>40000</v>
      </c>
      <c r="O114" s="5">
        <f>N114-N114*I114</f>
        <v>40000</v>
      </c>
      <c r="P114" s="5">
        <f>O114/K114/12</f>
        <v>166.66666666666666</v>
      </c>
      <c r="Q114" s="5">
        <f t="shared" ref="Q114:Q120" si="38">P114*12</f>
        <v>2000</v>
      </c>
      <c r="R114" s="5">
        <f>+IF(M114&lt;=$O$5,0,IF(L114&gt;$O$4,Q114,(P114*H114)))</f>
        <v>2000</v>
      </c>
      <c r="S114" s="5">
        <f>+IF(R114=0,N114,IF($O$3-G114&lt;1,0,(($O$3-G114)*Q114)))</f>
        <v>28000</v>
      </c>
      <c r="T114" s="5">
        <f>+IF(R114=0,S114,S114+R114)</f>
        <v>30000</v>
      </c>
      <c r="U114" s="5">
        <f>+N114-T114</f>
        <v>10000</v>
      </c>
    </row>
    <row r="115" spans="1:21">
      <c r="A115" s="47" t="s">
        <v>178</v>
      </c>
      <c r="C115" s="47" t="s">
        <v>582</v>
      </c>
      <c r="G115" s="47">
        <v>2004</v>
      </c>
      <c r="H115" s="47">
        <v>9</v>
      </c>
      <c r="I115" s="47">
        <v>0</v>
      </c>
      <c r="J115" s="47" t="s">
        <v>30</v>
      </c>
      <c r="K115" s="47">
        <v>20</v>
      </c>
      <c r="L115" s="47">
        <f t="shared" si="36"/>
        <v>2024</v>
      </c>
      <c r="M115" s="48">
        <f t="shared" si="37"/>
        <v>2024.75</v>
      </c>
      <c r="N115" s="5">
        <v>240000</v>
      </c>
      <c r="O115" s="5">
        <f t="shared" ref="O115:O120" si="39">N115-N115*I115</f>
        <v>240000</v>
      </c>
      <c r="P115" s="5">
        <f t="shared" ref="P115:P120" si="40">O115/K115/12</f>
        <v>1000</v>
      </c>
      <c r="Q115" s="5">
        <f t="shared" si="38"/>
        <v>12000</v>
      </c>
      <c r="R115" s="5">
        <f t="shared" ref="R115:R120" si="41">+IF(M115&lt;=$O$5,0,IF(L115&gt;$O$4,Q115,(P115*H115)))</f>
        <v>12000</v>
      </c>
      <c r="S115" s="5">
        <f t="shared" ref="S115:S120" si="42">+IF(R115=0,N115,IF($O$3-G115&lt;1,0,(($O$3-G115)*Q115)))</f>
        <v>168000</v>
      </c>
      <c r="T115" s="5">
        <f t="shared" ref="T115:T120" si="43">+IF(R115=0,S115,S115+R115)</f>
        <v>180000</v>
      </c>
      <c r="U115" s="5">
        <f t="shared" ref="U115:U120" si="44">+N115-T115</f>
        <v>60000</v>
      </c>
    </row>
    <row r="116" spans="1:21">
      <c r="A116" s="47" t="s">
        <v>178</v>
      </c>
      <c r="C116" s="47" t="s">
        <v>517</v>
      </c>
      <c r="D116" s="47" t="s">
        <v>518</v>
      </c>
      <c r="E116" s="47">
        <v>80461</v>
      </c>
      <c r="G116" s="47">
        <v>2011</v>
      </c>
      <c r="H116" s="47">
        <v>3</v>
      </c>
      <c r="I116" s="47">
        <v>0</v>
      </c>
      <c r="J116" s="47" t="s">
        <v>30</v>
      </c>
      <c r="K116" s="47">
        <v>20</v>
      </c>
      <c r="L116" s="47">
        <f t="shared" si="36"/>
        <v>2031</v>
      </c>
      <c r="M116" s="48">
        <f t="shared" si="37"/>
        <v>2031.25</v>
      </c>
      <c r="N116" s="5">
        <f>841.06+841.06</f>
        <v>1682.12</v>
      </c>
      <c r="O116" s="5">
        <f t="shared" si="39"/>
        <v>1682.12</v>
      </c>
      <c r="P116" s="5">
        <f t="shared" si="40"/>
        <v>7.0088333333333326</v>
      </c>
      <c r="Q116" s="5">
        <f t="shared" si="38"/>
        <v>84.105999999999995</v>
      </c>
      <c r="R116" s="5">
        <f t="shared" si="41"/>
        <v>84.105999999999995</v>
      </c>
      <c r="S116" s="5">
        <f t="shared" si="42"/>
        <v>588.74199999999996</v>
      </c>
      <c r="T116" s="5">
        <f t="shared" si="43"/>
        <v>672.84799999999996</v>
      </c>
      <c r="U116" s="5">
        <f t="shared" si="44"/>
        <v>1009.2719999999999</v>
      </c>
    </row>
    <row r="117" spans="1:21">
      <c r="A117" s="47" t="s">
        <v>178</v>
      </c>
      <c r="C117" s="47" t="s">
        <v>523</v>
      </c>
      <c r="D117" s="47" t="s">
        <v>524</v>
      </c>
      <c r="E117" s="47">
        <v>80461</v>
      </c>
      <c r="G117" s="47">
        <v>2011</v>
      </c>
      <c r="H117" s="47">
        <v>3</v>
      </c>
      <c r="I117" s="47">
        <v>0</v>
      </c>
      <c r="J117" s="47" t="s">
        <v>30</v>
      </c>
      <c r="K117" s="47">
        <v>20</v>
      </c>
      <c r="L117" s="47">
        <f t="shared" si="36"/>
        <v>2031</v>
      </c>
      <c r="M117" s="48">
        <f t="shared" si="37"/>
        <v>2031.25</v>
      </c>
      <c r="N117" s="5">
        <f>5574.14+2711.89</f>
        <v>8286.0300000000007</v>
      </c>
      <c r="O117" s="5">
        <f t="shared" si="39"/>
        <v>8286.0300000000007</v>
      </c>
      <c r="P117" s="5">
        <f t="shared" si="40"/>
        <v>34.525125000000003</v>
      </c>
      <c r="Q117" s="5">
        <f t="shared" si="38"/>
        <v>414.30150000000003</v>
      </c>
      <c r="R117" s="5">
        <f t="shared" si="41"/>
        <v>414.30150000000003</v>
      </c>
      <c r="S117" s="5">
        <f t="shared" si="42"/>
        <v>2900.1105000000002</v>
      </c>
      <c r="T117" s="5">
        <f t="shared" si="43"/>
        <v>3314.4120000000003</v>
      </c>
      <c r="U117" s="5">
        <f t="shared" si="44"/>
        <v>4971.6180000000004</v>
      </c>
    </row>
    <row r="118" spans="1:21">
      <c r="A118" s="47" t="s">
        <v>178</v>
      </c>
      <c r="C118" s="47" t="s">
        <v>526</v>
      </c>
      <c r="D118" s="47">
        <v>82335</v>
      </c>
      <c r="E118" s="47">
        <v>80461</v>
      </c>
      <c r="G118" s="47">
        <v>2011</v>
      </c>
      <c r="H118" s="47">
        <v>3</v>
      </c>
      <c r="I118" s="47">
        <v>0</v>
      </c>
      <c r="J118" s="47" t="s">
        <v>30</v>
      </c>
      <c r="K118" s="47">
        <v>20</v>
      </c>
      <c r="L118" s="47">
        <f t="shared" si="36"/>
        <v>2031</v>
      </c>
      <c r="M118" s="48">
        <f t="shared" si="37"/>
        <v>2031.25</v>
      </c>
      <c r="N118" s="5">
        <v>5668.3</v>
      </c>
      <c r="O118" s="5">
        <f t="shared" si="39"/>
        <v>5668.3</v>
      </c>
      <c r="P118" s="5">
        <f t="shared" si="40"/>
        <v>23.61791666666667</v>
      </c>
      <c r="Q118" s="5">
        <f t="shared" si="38"/>
        <v>283.41500000000002</v>
      </c>
      <c r="R118" s="5">
        <f t="shared" si="41"/>
        <v>283.41500000000002</v>
      </c>
      <c r="S118" s="5">
        <f t="shared" si="42"/>
        <v>1983.9050000000002</v>
      </c>
      <c r="T118" s="5">
        <f t="shared" si="43"/>
        <v>2267.3200000000002</v>
      </c>
      <c r="U118" s="5">
        <f t="shared" si="44"/>
        <v>3400.98</v>
      </c>
    </row>
    <row r="119" spans="1:21">
      <c r="A119" s="47" t="s">
        <v>178</v>
      </c>
      <c r="C119" s="47" t="s">
        <v>580</v>
      </c>
      <c r="D119" s="47" t="s">
        <v>516</v>
      </c>
      <c r="E119" s="47">
        <v>80461</v>
      </c>
      <c r="G119" s="47">
        <v>2011</v>
      </c>
      <c r="H119" s="47">
        <v>3</v>
      </c>
      <c r="I119" s="47">
        <v>0</v>
      </c>
      <c r="J119" s="47" t="s">
        <v>30</v>
      </c>
      <c r="K119" s="47">
        <v>20</v>
      </c>
      <c r="L119" s="47">
        <f t="shared" si="36"/>
        <v>2031</v>
      </c>
      <c r="M119" s="48">
        <f t="shared" si="37"/>
        <v>2031.25</v>
      </c>
      <c r="N119" s="5">
        <f>31000.84+80823.8+245.11+59592+4618.5+20568.07+6693.53+6062.87</f>
        <v>209604.72</v>
      </c>
      <c r="O119" s="5">
        <f t="shared" si="39"/>
        <v>209604.72</v>
      </c>
      <c r="P119" s="5">
        <f t="shared" si="40"/>
        <v>873.35300000000007</v>
      </c>
      <c r="Q119" s="5">
        <f t="shared" si="38"/>
        <v>10480.236000000001</v>
      </c>
      <c r="R119" s="5">
        <f t="shared" si="41"/>
        <v>10480.236000000001</v>
      </c>
      <c r="S119" s="5">
        <f t="shared" si="42"/>
        <v>73361.652000000002</v>
      </c>
      <c r="T119" s="5">
        <f t="shared" si="43"/>
        <v>83841.888000000006</v>
      </c>
      <c r="U119" s="5">
        <f t="shared" si="44"/>
        <v>125762.83199999999</v>
      </c>
    </row>
    <row r="120" spans="1:21">
      <c r="A120" s="47" t="s">
        <v>178</v>
      </c>
      <c r="C120" s="47" t="s">
        <v>512</v>
      </c>
      <c r="D120" s="47" t="s">
        <v>513</v>
      </c>
      <c r="E120" s="47">
        <v>80461</v>
      </c>
      <c r="G120" s="47">
        <v>2011</v>
      </c>
      <c r="H120" s="47">
        <v>3</v>
      </c>
      <c r="I120" s="47">
        <v>0</v>
      </c>
      <c r="J120" s="47" t="s">
        <v>30</v>
      </c>
      <c r="K120" s="47">
        <v>10</v>
      </c>
      <c r="L120" s="47">
        <f t="shared" si="36"/>
        <v>2021</v>
      </c>
      <c r="M120" s="48">
        <f t="shared" si="37"/>
        <v>2021.25</v>
      </c>
      <c r="N120" s="5">
        <f>394.57+25.62+247.56+1955.1+1108.85+1867.48+4357.52+196.74+938.88</f>
        <v>11092.32</v>
      </c>
      <c r="O120" s="5">
        <f t="shared" si="39"/>
        <v>11092.32</v>
      </c>
      <c r="P120" s="5">
        <f t="shared" si="40"/>
        <v>92.435999999999993</v>
      </c>
      <c r="Q120" s="5">
        <f t="shared" si="38"/>
        <v>1109.232</v>
      </c>
      <c r="R120" s="5">
        <f t="shared" si="41"/>
        <v>1109.232</v>
      </c>
      <c r="S120" s="5">
        <f t="shared" si="42"/>
        <v>7764.6239999999998</v>
      </c>
      <c r="T120" s="5">
        <f t="shared" si="43"/>
        <v>8873.8559999999998</v>
      </c>
      <c r="U120" s="5">
        <f t="shared" si="44"/>
        <v>2218.4639999999999</v>
      </c>
    </row>
    <row r="121" spans="1:21">
      <c r="A121" s="47" t="s">
        <v>178</v>
      </c>
      <c r="C121" s="47" t="s">
        <v>1117</v>
      </c>
      <c r="D121" s="47" t="s">
        <v>1118</v>
      </c>
      <c r="G121" s="47">
        <v>2019</v>
      </c>
      <c r="H121" s="47">
        <v>1</v>
      </c>
      <c r="I121" s="47">
        <v>0</v>
      </c>
      <c r="J121" s="47" t="s">
        <v>30</v>
      </c>
      <c r="K121" s="47">
        <v>10</v>
      </c>
      <c r="L121" s="47">
        <f t="shared" si="36"/>
        <v>2029</v>
      </c>
      <c r="M121" s="48">
        <f t="shared" si="37"/>
        <v>2029.0833333333333</v>
      </c>
      <c r="N121" s="5">
        <f>9037-2575.16</f>
        <v>6461.84</v>
      </c>
      <c r="O121" s="5">
        <f>N121-N121*I121</f>
        <v>6461.84</v>
      </c>
      <c r="P121" s="5">
        <f>O121/K121/12</f>
        <v>53.848666666666666</v>
      </c>
      <c r="Q121" s="5">
        <f>P121*12</f>
        <v>646.18399999999997</v>
      </c>
      <c r="R121" s="5">
        <f>+IF(M121&lt;=$O$5,0,IF(L121&gt;$O$4,Q121,(P121*H121)))</f>
        <v>646.18399999999997</v>
      </c>
      <c r="S121" s="5">
        <f>+IF(R121=0,N121,IF($O$3-G121&lt;1,0,(($O$3-G121)*Q121)))</f>
        <v>0</v>
      </c>
      <c r="T121" s="5">
        <f>+IF(R121=0,S121,S121+R121)</f>
        <v>646.18399999999997</v>
      </c>
      <c r="U121" s="5">
        <f>+N121-T121</f>
        <v>5815.6559999999999</v>
      </c>
    </row>
    <row r="122" spans="1:21">
      <c r="A122" s="47" t="s">
        <v>178</v>
      </c>
      <c r="C122" s="47" t="s">
        <v>1117</v>
      </c>
      <c r="D122" s="47">
        <v>208977</v>
      </c>
      <c r="G122" s="47">
        <v>2019</v>
      </c>
      <c r="H122" s="47">
        <v>1</v>
      </c>
      <c r="I122" s="47">
        <v>0</v>
      </c>
      <c r="J122" s="47" t="s">
        <v>30</v>
      </c>
      <c r="K122" s="47">
        <v>9.11</v>
      </c>
      <c r="L122" s="47">
        <f t="shared" si="36"/>
        <v>2028.11</v>
      </c>
      <c r="M122" s="48">
        <f t="shared" si="37"/>
        <v>2028.1933333333332</v>
      </c>
      <c r="N122" s="5">
        <v>24602.39</v>
      </c>
      <c r="O122" s="5">
        <f>N122-N122*I122</f>
        <v>24602.39</v>
      </c>
      <c r="P122" s="5">
        <f>O122/K122/12</f>
        <v>225.04930479326745</v>
      </c>
      <c r="Q122" s="5">
        <f>P122*12</f>
        <v>2700.5916575192095</v>
      </c>
      <c r="R122" s="5">
        <f>+IF(M122&lt;=$O$5,0,IF(L122&gt;$O$4,Q122,(P122*H122)))</f>
        <v>2700.5916575192095</v>
      </c>
      <c r="S122" s="5">
        <f>+IF(R122=0,N122,IF($O$3-G122&lt;1,0,(($O$3-G122)*Q122)))</f>
        <v>0</v>
      </c>
      <c r="T122" s="5">
        <f>+IF(R122=0,S122,S122+R122)</f>
        <v>2700.5916575192095</v>
      </c>
      <c r="U122" s="5">
        <f>+N122-T122</f>
        <v>21901.79834248079</v>
      </c>
    </row>
    <row r="124" spans="1:21">
      <c r="L124" s="3" t="s">
        <v>586</v>
      </c>
      <c r="M124" s="32"/>
      <c r="N124" s="9">
        <f>SUM(N114:N123)</f>
        <v>547397.72000000009</v>
      </c>
      <c r="O124" s="9">
        <f t="shared" ref="O124:U124" si="45">SUM(O114:O123)</f>
        <v>547397.72000000009</v>
      </c>
      <c r="P124" s="9">
        <f t="shared" si="45"/>
        <v>2476.5055131266008</v>
      </c>
      <c r="Q124" s="9">
        <f t="shared" si="45"/>
        <v>29718.06615751921</v>
      </c>
      <c r="R124" s="9">
        <f t="shared" si="45"/>
        <v>29718.06615751921</v>
      </c>
      <c r="S124" s="9">
        <f t="shared" si="45"/>
        <v>282599.03350000002</v>
      </c>
      <c r="T124" s="9">
        <f t="shared" si="45"/>
        <v>312317.09965751925</v>
      </c>
      <c r="U124" s="9">
        <f t="shared" si="45"/>
        <v>235080.62034248078</v>
      </c>
    </row>
    <row r="126" spans="1:21">
      <c r="B126" s="4" t="s">
        <v>584</v>
      </c>
    </row>
    <row r="127" spans="1:21" ht="13.5" customHeight="1">
      <c r="A127" s="47" t="s">
        <v>585</v>
      </c>
      <c r="C127" s="47" t="s">
        <v>514</v>
      </c>
      <c r="D127" s="47" t="s">
        <v>515</v>
      </c>
      <c r="E127" s="47">
        <v>80461</v>
      </c>
      <c r="G127" s="47">
        <v>2011</v>
      </c>
      <c r="H127" s="47">
        <v>3</v>
      </c>
      <c r="I127" s="47">
        <v>0</v>
      </c>
      <c r="J127" s="47" t="s">
        <v>30</v>
      </c>
      <c r="K127" s="47">
        <v>20</v>
      </c>
      <c r="L127" s="47">
        <f>G127+K127</f>
        <v>2031</v>
      </c>
      <c r="M127" s="48">
        <f>+L127+(H127/12)</f>
        <v>2031.25</v>
      </c>
      <c r="N127" s="5">
        <f>3166.67+673+2240.65+3836.43+6424143.01-114.39+4566.5+20661.47+138250.85+835.05+210612.12+269528.37+118437+71579.83+301+2739.6+45+8499.35-11853.59+5255+553.12+345+216.12+555+5427.5+8571.02+1676.81+2011.12+9964.88+636.67+3673.77+2278.91+2133.77+23372.76</f>
        <v>7334819.3699999973</v>
      </c>
      <c r="O127" s="5">
        <f>N127-N127*I127</f>
        <v>7334819.3699999973</v>
      </c>
      <c r="P127" s="5">
        <f>O127/K127/12</f>
        <v>30561.747374999988</v>
      </c>
      <c r="Q127" s="5">
        <f>P127*12</f>
        <v>366740.96849999984</v>
      </c>
      <c r="R127" s="5">
        <f>+IF(M127&lt;=$O$5,0,IF(L127&gt;$O$4,Q127,(P127*H127)))</f>
        <v>366740.96849999984</v>
      </c>
      <c r="S127" s="5">
        <f>+IF(R127=0,N127,IF($O$3-G127&lt;1,0,(($O$3-G127)*Q127)))</f>
        <v>2567186.7794999988</v>
      </c>
      <c r="T127" s="5">
        <f>+IF(R127=0,S127,S127+R127)</f>
        <v>2933927.7479999987</v>
      </c>
      <c r="U127" s="5">
        <f>+N127-T127</f>
        <v>4400891.6219999986</v>
      </c>
    </row>
    <row r="128" spans="1:21">
      <c r="A128" s="47" t="s">
        <v>585</v>
      </c>
      <c r="C128" s="47" t="s">
        <v>519</v>
      </c>
      <c r="D128" s="47" t="s">
        <v>520</v>
      </c>
      <c r="E128" s="47">
        <v>80461</v>
      </c>
      <c r="G128" s="47">
        <v>2011</v>
      </c>
      <c r="H128" s="47">
        <v>3</v>
      </c>
      <c r="I128" s="47">
        <v>0</v>
      </c>
      <c r="J128" s="47" t="s">
        <v>30</v>
      </c>
      <c r="K128" s="47">
        <v>20</v>
      </c>
      <c r="L128" s="47">
        <f>G128+K128</f>
        <v>2031</v>
      </c>
      <c r="M128" s="48">
        <f>+L128+(H128/12)</f>
        <v>2031.25</v>
      </c>
      <c r="N128" s="5">
        <f>8812.86+42012.06+7370.54</f>
        <v>58195.46</v>
      </c>
      <c r="O128" s="5">
        <f>N128-N128*I128</f>
        <v>58195.46</v>
      </c>
      <c r="P128" s="5">
        <f>O128/K128/12</f>
        <v>242.48108333333334</v>
      </c>
      <c r="Q128" s="5">
        <f>P128*12</f>
        <v>2909.7730000000001</v>
      </c>
      <c r="R128" s="5">
        <f>+IF(M128&lt;=$O$5,0,IF(L128&gt;$O$4,Q128,(P128*H128)))</f>
        <v>2909.7730000000001</v>
      </c>
      <c r="S128" s="5">
        <f>+IF(R128=0,N128,IF($O$3-G128&lt;1,0,(($O$3-G128)*Q128)))</f>
        <v>20368.411</v>
      </c>
      <c r="T128" s="5">
        <f>+IF(R128=0,S128,S128+R128)</f>
        <v>23278.184000000001</v>
      </c>
      <c r="U128" s="5">
        <f>+N128-T128</f>
        <v>34917.275999999998</v>
      </c>
    </row>
    <row r="129" spans="1:22">
      <c r="A129" s="47" t="s">
        <v>585</v>
      </c>
      <c r="C129" s="47" t="s">
        <v>521</v>
      </c>
      <c r="D129" s="47" t="s">
        <v>522</v>
      </c>
      <c r="E129" s="47">
        <v>80461</v>
      </c>
      <c r="G129" s="47">
        <v>2011</v>
      </c>
      <c r="H129" s="47">
        <v>3</v>
      </c>
      <c r="I129" s="47">
        <v>0</v>
      </c>
      <c r="J129" s="47" t="s">
        <v>30</v>
      </c>
      <c r="K129" s="47">
        <v>20</v>
      </c>
      <c r="L129" s="47">
        <f>G129+K129</f>
        <v>2031</v>
      </c>
      <c r="M129" s="48">
        <f>+L129+(H129/12)</f>
        <v>2031.25</v>
      </c>
      <c r="N129" s="5">
        <f>8580.16+8580.17</f>
        <v>17160.330000000002</v>
      </c>
      <c r="O129" s="5">
        <f>N129-N129*I129</f>
        <v>17160.330000000002</v>
      </c>
      <c r="P129" s="5">
        <f>O129/K129/12</f>
        <v>71.50137500000001</v>
      </c>
      <c r="Q129" s="5">
        <f>P129*12</f>
        <v>858.01650000000018</v>
      </c>
      <c r="R129" s="5">
        <f>+IF(M129&lt;=$O$5,0,IF(L129&gt;$O$4,Q129,(P129*H129)))</f>
        <v>858.01650000000018</v>
      </c>
      <c r="S129" s="5">
        <f>+IF(R129=0,N129,IF($O$3-G129&lt;1,0,(($O$3-G129)*Q129)))</f>
        <v>6006.1155000000017</v>
      </c>
      <c r="T129" s="5">
        <f>+IF(R129=0,S129,S129+R129)</f>
        <v>6864.1320000000014</v>
      </c>
      <c r="U129" s="5">
        <f>+N129-T129</f>
        <v>10296.198</v>
      </c>
    </row>
    <row r="130" spans="1:22">
      <c r="A130" s="47" t="s">
        <v>585</v>
      </c>
      <c r="C130" s="47" t="s">
        <v>525</v>
      </c>
      <c r="D130" s="47">
        <v>80941</v>
      </c>
      <c r="E130" s="47">
        <v>80461</v>
      </c>
      <c r="G130" s="47">
        <v>2011</v>
      </c>
      <c r="H130" s="47">
        <v>3</v>
      </c>
      <c r="I130" s="47">
        <v>0</v>
      </c>
      <c r="J130" s="47" t="s">
        <v>30</v>
      </c>
      <c r="K130" s="47">
        <v>20</v>
      </c>
      <c r="L130" s="47">
        <f>G130+K130</f>
        <v>2031</v>
      </c>
      <c r="M130" s="48">
        <f>+L130+(H130/12)</f>
        <v>2031.25</v>
      </c>
      <c r="N130" s="5">
        <v>23823.03</v>
      </c>
      <c r="O130" s="5">
        <f>N130-N130*I130</f>
        <v>23823.03</v>
      </c>
      <c r="P130" s="5">
        <f>O130/K130/12</f>
        <v>99.262625</v>
      </c>
      <c r="Q130" s="5">
        <f>P130*12</f>
        <v>1191.1514999999999</v>
      </c>
      <c r="R130" s="5">
        <f>+IF(M130&lt;=$O$5,0,IF(L130&gt;$O$4,Q130,(P130*H130)))</f>
        <v>1191.1514999999999</v>
      </c>
      <c r="S130" s="5">
        <f>+IF(R130=0,N130,IF($O$3-G130&lt;1,0,(($O$3-G130)*Q130)))</f>
        <v>8338.0604999999996</v>
      </c>
      <c r="T130" s="5">
        <f>+IF(R130=0,S130,S130+R130)</f>
        <v>9529.2119999999995</v>
      </c>
      <c r="U130" s="5">
        <f>+N130-T130</f>
        <v>14293.817999999999</v>
      </c>
    </row>
    <row r="133" spans="1:22">
      <c r="L133" s="3" t="s">
        <v>587</v>
      </c>
      <c r="M133" s="32"/>
      <c r="N133" s="9">
        <f>SUM(N127:N132)</f>
        <v>7433998.1899999976</v>
      </c>
      <c r="O133" s="9">
        <f>SUM(O127:O132)</f>
        <v>7433998.1899999976</v>
      </c>
      <c r="P133" s="9">
        <f>SUM(P127:P132)</f>
        <v>30974.99245833332</v>
      </c>
      <c r="Q133" s="9">
        <f>SUM(Q127:Q132)</f>
        <v>371699.90949999983</v>
      </c>
      <c r="R133" s="9">
        <f>SUM(R120:R132)</f>
        <v>405873.98331503826</v>
      </c>
      <c r="S133" s="9">
        <f>SUM(S127:S132)</f>
        <v>2601899.3664999986</v>
      </c>
      <c r="T133" s="9">
        <f>SUM(T127:T132)</f>
        <v>2973599.2759999987</v>
      </c>
      <c r="U133" s="9">
        <f>SUM(U127:U132)</f>
        <v>4460398.913999998</v>
      </c>
    </row>
    <row r="135" spans="1:22">
      <c r="B135" s="4" t="s">
        <v>700</v>
      </c>
    </row>
    <row r="136" spans="1:22">
      <c r="A136" s="47" t="s">
        <v>353</v>
      </c>
      <c r="C136" s="47" t="s">
        <v>550</v>
      </c>
      <c r="G136" s="47">
        <v>2005</v>
      </c>
      <c r="H136" s="47">
        <v>8</v>
      </c>
      <c r="I136" s="47">
        <v>0</v>
      </c>
      <c r="J136" s="47" t="s">
        <v>30</v>
      </c>
      <c r="K136" s="47">
        <v>5</v>
      </c>
      <c r="L136" s="47">
        <f>G136+K136</f>
        <v>2010</v>
      </c>
      <c r="M136" s="48">
        <f>+L136+(H136/12)</f>
        <v>2010.6666666666667</v>
      </c>
      <c r="N136" s="5">
        <v>32918.879999999997</v>
      </c>
      <c r="O136" s="5">
        <f>N136-N136*I136</f>
        <v>32918.879999999997</v>
      </c>
      <c r="P136" s="5">
        <f>O136/K136/12</f>
        <v>548.64800000000002</v>
      </c>
      <c r="Q136" s="5">
        <f>P136*12</f>
        <v>6583.7759999999998</v>
      </c>
      <c r="R136" s="5">
        <f>+IF(M136&lt;=$O$5,0,IF(L136&gt;$O$4,Q136,(P136*H136)))</f>
        <v>0</v>
      </c>
      <c r="S136" s="5">
        <f>+IF(R136=0,N136,IF($O$3-G136&lt;1,0,(($O$3-G136)*Q136)))</f>
        <v>32918.879999999997</v>
      </c>
      <c r="T136" s="5">
        <f>+IF(R136=0,S136,S136+R136)</f>
        <v>32918.879999999997</v>
      </c>
      <c r="U136" s="5">
        <f>+N136-T136</f>
        <v>0</v>
      </c>
    </row>
    <row r="137" spans="1:22">
      <c r="A137" s="47" t="s">
        <v>353</v>
      </c>
      <c r="C137" s="47" t="s">
        <v>596</v>
      </c>
      <c r="D137" s="47">
        <v>86834</v>
      </c>
      <c r="G137" s="47">
        <v>2008</v>
      </c>
      <c r="H137" s="47">
        <v>11</v>
      </c>
      <c r="I137" s="47">
        <v>0</v>
      </c>
      <c r="J137" s="47" t="s">
        <v>30</v>
      </c>
      <c r="K137" s="47">
        <v>3</v>
      </c>
      <c r="L137" s="47">
        <f>G137+K137</f>
        <v>2011</v>
      </c>
      <c r="M137" s="48">
        <f>+L137+(H137/12)</f>
        <v>2011.9166666666667</v>
      </c>
      <c r="N137" s="5">
        <f>'2180 Other - Orig.'!O121</f>
        <v>1675</v>
      </c>
      <c r="O137" s="5">
        <f>N137-N137*I137</f>
        <v>1675</v>
      </c>
      <c r="P137" s="5">
        <f>O137/K137/12</f>
        <v>46.527777777777779</v>
      </c>
      <c r="Q137" s="5">
        <f>P137*12</f>
        <v>558.33333333333337</v>
      </c>
      <c r="R137" s="5">
        <f>+IF(M137&lt;=$O$5,0,IF(L137&gt;$O$4,Q137,(P137*H137)))</f>
        <v>0</v>
      </c>
      <c r="S137" s="5">
        <f>+IF(R137=0,N137,IF($O$3-G137&lt;1,0,(($O$3-G137)*Q137)))</f>
        <v>1675</v>
      </c>
      <c r="T137" s="5">
        <f>+IF(R137=0,S137,S137+R137)</f>
        <v>1675</v>
      </c>
      <c r="U137" s="5">
        <f>+N137-T137</f>
        <v>0</v>
      </c>
    </row>
    <row r="138" spans="1:22">
      <c r="C138" s="47" t="s">
        <v>1032</v>
      </c>
      <c r="G138" s="47">
        <v>2017</v>
      </c>
      <c r="H138" s="47">
        <v>9</v>
      </c>
      <c r="I138" s="47">
        <v>0</v>
      </c>
      <c r="J138" s="47" t="s">
        <v>30</v>
      </c>
      <c r="K138" s="47">
        <v>3</v>
      </c>
      <c r="L138" s="47">
        <f>G138+K138</f>
        <v>2020</v>
      </c>
      <c r="M138" s="48">
        <f>+L138+(H138/12)</f>
        <v>2020.75</v>
      </c>
      <c r="N138" s="5">
        <f>'2180 Other - Orig.'!N121-'2180 Other'!N137</f>
        <v>825</v>
      </c>
      <c r="O138" s="5">
        <f>N138-N138*I138</f>
        <v>825</v>
      </c>
      <c r="P138" s="5">
        <f>O138/K138/12</f>
        <v>22.916666666666668</v>
      </c>
      <c r="Q138" s="5">
        <f>P138*12</f>
        <v>275</v>
      </c>
      <c r="R138" s="5">
        <f>+IF(M138&lt;=$O$5,0,IF(L138&gt;$O$4,Q138,(P138*H138)))</f>
        <v>275</v>
      </c>
      <c r="S138" s="5">
        <f>+IF(R138=0,N138,IF($O$3-G138&lt;1,0,(($O$3-G138)*Q138)))</f>
        <v>275</v>
      </c>
      <c r="T138" s="5">
        <f>+IF(R138=0,S138,S138+R138)</f>
        <v>550</v>
      </c>
      <c r="U138" s="5">
        <f>+N138-T138</f>
        <v>275</v>
      </c>
    </row>
    <row r="139" spans="1:22">
      <c r="C139" s="47" t="s">
        <v>695</v>
      </c>
      <c r="D139" s="47">
        <v>110353</v>
      </c>
      <c r="G139" s="47">
        <v>2013</v>
      </c>
      <c r="H139" s="47">
        <v>11</v>
      </c>
      <c r="I139" s="47">
        <v>0</v>
      </c>
      <c r="J139" s="47" t="s">
        <v>30</v>
      </c>
      <c r="K139" s="47">
        <v>10</v>
      </c>
      <c r="L139" s="47">
        <f>G139+K139</f>
        <v>2023</v>
      </c>
      <c r="M139" s="48">
        <f>+L139+(H139/12)</f>
        <v>2023.9166666666667</v>
      </c>
      <c r="N139" s="5">
        <v>99307.78</v>
      </c>
      <c r="O139" s="5">
        <f>N139-N139*I139</f>
        <v>99307.78</v>
      </c>
      <c r="P139" s="5">
        <f>O139/K139/12</f>
        <v>827.56483333333335</v>
      </c>
      <c r="Q139" s="5">
        <f>P139*12</f>
        <v>9930.7780000000002</v>
      </c>
      <c r="R139" s="5">
        <f>+IF(M139&lt;=$O$5,0,IF(L139&gt;$O$4,Q139,(P139*H139)))</f>
        <v>9930.7780000000002</v>
      </c>
      <c r="S139" s="5">
        <f>+IF(R139=0,N139,IF($O$3-G139&lt;1,0,(($O$3-G139)*Q139)))</f>
        <v>49653.89</v>
      </c>
      <c r="T139" s="5">
        <f>+IF(R139=0,S139,S139+R139)</f>
        <v>59584.667999999998</v>
      </c>
      <c r="U139" s="5">
        <f>+N139-T139</f>
        <v>39723.112000000001</v>
      </c>
    </row>
    <row r="140" spans="1:22">
      <c r="C140" s="47" t="s">
        <v>1123</v>
      </c>
      <c r="D140" s="47">
        <v>215688</v>
      </c>
      <c r="G140" s="47">
        <v>2016</v>
      </c>
      <c r="H140" s="47">
        <v>12</v>
      </c>
      <c r="I140" s="47">
        <v>0</v>
      </c>
      <c r="J140" s="47" t="s">
        <v>30</v>
      </c>
      <c r="K140" s="47">
        <v>3</v>
      </c>
      <c r="L140" s="47">
        <f>G140+K140</f>
        <v>2019</v>
      </c>
      <c r="M140" s="48">
        <f>+L140+(H140/12)</f>
        <v>2020</v>
      </c>
      <c r="N140" s="5">
        <v>30000</v>
      </c>
      <c r="O140" s="5">
        <f>N140-N140*I140</f>
        <v>30000</v>
      </c>
      <c r="P140" s="5">
        <f>O140/K140/12</f>
        <v>833.33333333333337</v>
      </c>
      <c r="Q140" s="5">
        <f>P140*12</f>
        <v>10000</v>
      </c>
      <c r="R140" s="5">
        <f>+IF(M140&lt;=$O$5,0,IF(L140&gt;$O$4,Q140,(P140*H140)))</f>
        <v>10000</v>
      </c>
      <c r="S140" s="5">
        <f>+IF(R140=0,N140,IF($O$3-G140&lt;1,0,(($O$3-G140)*Q140)))</f>
        <v>20000</v>
      </c>
      <c r="T140" s="5">
        <f>+IF(R140=0,S140,S140+R140)</f>
        <v>30000</v>
      </c>
      <c r="U140" s="5">
        <f>+N140-T140</f>
        <v>0</v>
      </c>
      <c r="V140" s="47" t="s">
        <v>1124</v>
      </c>
    </row>
    <row r="142" spans="1:22" s="31" customFormat="1">
      <c r="L142" s="31" t="s">
        <v>701</v>
      </c>
      <c r="M142" s="32"/>
      <c r="N142" s="9">
        <f>SUM(N136:N141)</f>
        <v>164726.66</v>
      </c>
      <c r="O142" s="9">
        <f>SUM(O136:O141)</f>
        <v>164726.66</v>
      </c>
      <c r="P142" s="9">
        <f>SUM(P136:P141)</f>
        <v>2278.9906111111113</v>
      </c>
      <c r="Q142" s="9">
        <f>SUM(Q136:Q141)</f>
        <v>27347.887333333332</v>
      </c>
      <c r="R142" s="9">
        <f>SUM(R141:R141)</f>
        <v>0</v>
      </c>
      <c r="S142" s="9">
        <f>SUM(S136:S141)</f>
        <v>104522.76999999999</v>
      </c>
      <c r="T142" s="9">
        <f>SUM(T136:T141)</f>
        <v>124728.548</v>
      </c>
      <c r="U142" s="9">
        <f>SUM(U136:U141)</f>
        <v>39998.112000000001</v>
      </c>
    </row>
    <row r="143" spans="1:22">
      <c r="B143" s="4" t="s">
        <v>535</v>
      </c>
    </row>
    <row r="144" spans="1:22">
      <c r="C144" s="47" t="s">
        <v>534</v>
      </c>
      <c r="D144" s="47">
        <v>60675</v>
      </c>
      <c r="G144" s="47">
        <v>2008</v>
      </c>
      <c r="H144" s="47">
        <v>11</v>
      </c>
      <c r="N144" s="37">
        <v>9148000</v>
      </c>
      <c r="U144" s="5">
        <f>N144</f>
        <v>9148000</v>
      </c>
    </row>
    <row r="146" spans="1:21" s="31" customFormat="1">
      <c r="L146" s="31" t="s">
        <v>465</v>
      </c>
      <c r="M146" s="32"/>
      <c r="N146" s="9">
        <f>N142+N133+N110+N60+N40+N144+N124</f>
        <v>19115908.149999999</v>
      </c>
      <c r="O146" s="9">
        <f t="shared" ref="O146:U146" si="46">O142+O133+O110+O60+O40+O144+O124</f>
        <v>9957395.9836650006</v>
      </c>
      <c r="P146" s="9">
        <f t="shared" si="46"/>
        <v>65368.096645241669</v>
      </c>
      <c r="Q146" s="9">
        <f t="shared" si="46"/>
        <v>784417.15974290005</v>
      </c>
      <c r="R146" s="9">
        <f t="shared" si="46"/>
        <v>530471.72928208124</v>
      </c>
      <c r="S146" s="9">
        <f t="shared" si="46"/>
        <v>4504002.3377619032</v>
      </c>
      <c r="T146" s="9">
        <f t="shared" si="46"/>
        <v>5020505.7712289467</v>
      </c>
      <c r="U146" s="9">
        <f t="shared" si="46"/>
        <v>14095402.37877105</v>
      </c>
    </row>
    <row r="150" spans="1:21">
      <c r="C150" s="49" t="s">
        <v>677</v>
      </c>
    </row>
    <row r="151" spans="1:21">
      <c r="A151" s="47" t="s">
        <v>178</v>
      </c>
      <c r="B151" s="47">
        <v>6029</v>
      </c>
      <c r="C151" s="47" t="s">
        <v>182</v>
      </c>
      <c r="G151" s="47">
        <v>2003</v>
      </c>
      <c r="H151" s="47">
        <v>3</v>
      </c>
      <c r="I151" s="47">
        <v>0.2</v>
      </c>
      <c r="J151" s="47" t="s">
        <v>30</v>
      </c>
      <c r="K151" s="47">
        <v>7</v>
      </c>
      <c r="L151" s="47">
        <f>G151+K151</f>
        <v>2010</v>
      </c>
      <c r="M151" s="48">
        <f>+L151+(H151/12)</f>
        <v>2010.25</v>
      </c>
      <c r="N151" s="5">
        <v>16108.62</v>
      </c>
      <c r="O151" s="5">
        <f>N151-N151*I151</f>
        <v>12886.896000000001</v>
      </c>
      <c r="P151" s="5">
        <f>O151/K151/12</f>
        <v>153.41542857142858</v>
      </c>
      <c r="Q151" s="5">
        <f>P151*12</f>
        <v>1840.9851428571428</v>
      </c>
      <c r="R151" s="5">
        <f>+IF(M151&lt;=$O$5,0,IF(L151&gt;$O$4,Q151,(P151*H151)))</f>
        <v>0</v>
      </c>
      <c r="S151" s="5">
        <f>+IF(R151=0,N151,IF($O$3-G151&lt;1,0,(($O$3-G151)*Q151)))</f>
        <v>16108.62</v>
      </c>
      <c r="T151" s="5">
        <f>+IF(R151=0,S151,S151+R151)</f>
        <v>16108.62</v>
      </c>
      <c r="U151" s="5">
        <f>+N151-T151</f>
        <v>0</v>
      </c>
    </row>
    <row r="153" spans="1:21">
      <c r="C153" s="49" t="s">
        <v>764</v>
      </c>
    </row>
    <row r="154" spans="1:21">
      <c r="A154" s="47" t="s">
        <v>178</v>
      </c>
      <c r="B154" s="47">
        <v>6033</v>
      </c>
      <c r="C154" s="47" t="s">
        <v>291</v>
      </c>
      <c r="G154" s="47">
        <v>2005</v>
      </c>
      <c r="H154" s="47">
        <v>10</v>
      </c>
      <c r="I154" s="47">
        <v>0.33</v>
      </c>
      <c r="J154" s="47" t="s">
        <v>30</v>
      </c>
      <c r="K154" s="47">
        <v>5</v>
      </c>
      <c r="L154" s="47">
        <f>G154+K154</f>
        <v>2010</v>
      </c>
      <c r="M154" s="48">
        <f>+L154+(H154/12)</f>
        <v>2010.8333333333333</v>
      </c>
      <c r="N154" s="5">
        <v>2160.1799999999998</v>
      </c>
      <c r="O154" s="5">
        <f>N154-N154*I154</f>
        <v>1447.3206</v>
      </c>
      <c r="P154" s="5">
        <f>O154/K154/12</f>
        <v>24.12201</v>
      </c>
      <c r="Q154" s="5">
        <f>P154*12</f>
        <v>289.46411999999998</v>
      </c>
      <c r="R154" s="5">
        <f>+IF(M154&lt;=$O$5,0,IF(L154&gt;$O$4,Q154,(P154*H154)))</f>
        <v>0</v>
      </c>
      <c r="S154" s="5">
        <f>+IF(R154=0,N154,IF($O$3-G154&lt;1,0,(($O$3-G154)*Q154)))</f>
        <v>2160.1799999999998</v>
      </c>
      <c r="T154" s="5">
        <f>+IF(R154=0,S154,S154+R154)</f>
        <v>2160.1799999999998</v>
      </c>
      <c r="U154" s="5">
        <f>+N154-T154</f>
        <v>0</v>
      </c>
    </row>
    <row r="156" spans="1:21">
      <c r="C156" s="49" t="s">
        <v>835</v>
      </c>
    </row>
    <row r="157" spans="1:21">
      <c r="B157" s="47">
        <v>6627</v>
      </c>
      <c r="C157" s="47" t="s">
        <v>667</v>
      </c>
      <c r="D157" s="47">
        <v>103332</v>
      </c>
      <c r="G157" s="47">
        <v>2013</v>
      </c>
      <c r="H157" s="47">
        <v>4</v>
      </c>
      <c r="I157" s="47">
        <v>0.2</v>
      </c>
      <c r="J157" s="47" t="s">
        <v>30</v>
      </c>
      <c r="K157" s="47">
        <v>7</v>
      </c>
      <c r="L157" s="47">
        <f>G157+K157</f>
        <v>2020</v>
      </c>
      <c r="M157" s="48">
        <f>+L157+(H157/12)</f>
        <v>2020.3333333333333</v>
      </c>
      <c r="N157" s="5">
        <v>25999.99</v>
      </c>
      <c r="O157" s="5">
        <f>N157-N157*I157</f>
        <v>20799.992000000002</v>
      </c>
      <c r="P157" s="5">
        <f>O157/K157/12</f>
        <v>247.61895238095238</v>
      </c>
      <c r="Q157" s="5">
        <f>P157*12</f>
        <v>2971.4274285714287</v>
      </c>
      <c r="R157" s="5">
        <f>+IF(M157&lt;=$O$5,0,IF(L157&gt;$O$4,Q157,(P157*H157)))</f>
        <v>2971.4274285714287</v>
      </c>
      <c r="S157" s="5">
        <f>+IF(R157=0,N157,IF($O$3-G157&lt;1,0,(($O$3-G157)*Q157)))</f>
        <v>14857.137142857144</v>
      </c>
      <c r="T157" s="5">
        <f>+IF(R157=0,S157,S157+R157)</f>
        <v>17828.564571428571</v>
      </c>
      <c r="U157" s="5">
        <f>+N157-T157</f>
        <v>8171.4254285714305</v>
      </c>
    </row>
    <row r="159" spans="1:21">
      <c r="C159" s="49" t="s">
        <v>906</v>
      </c>
    </row>
    <row r="160" spans="1:21">
      <c r="A160" s="47" t="s">
        <v>468</v>
      </c>
      <c r="B160" s="47">
        <v>6034</v>
      </c>
      <c r="C160" s="47" t="s">
        <v>350</v>
      </c>
      <c r="G160" s="47">
        <v>2009</v>
      </c>
      <c r="H160" s="47">
        <v>1</v>
      </c>
      <c r="I160" s="47">
        <v>0</v>
      </c>
      <c r="J160" s="47" t="s">
        <v>30</v>
      </c>
      <c r="K160" s="47">
        <v>3</v>
      </c>
      <c r="L160" s="47">
        <f>G160+K160</f>
        <v>2012</v>
      </c>
      <c r="M160" s="48">
        <f>+L160+(H160/12)</f>
        <v>2012.0833333333333</v>
      </c>
      <c r="N160" s="5">
        <v>4355.1400000000003</v>
      </c>
      <c r="O160" s="5">
        <f>N160-N160*I160</f>
        <v>4355.1400000000003</v>
      </c>
      <c r="P160" s="5">
        <f>O160/K160/12</f>
        <v>120.97611111111111</v>
      </c>
      <c r="Q160" s="5">
        <f>P160*12</f>
        <v>1451.7133333333334</v>
      </c>
      <c r="R160" s="5">
        <f>+IF(M160&lt;=$O$5,0,IF(L160&gt;$O$4,Q160,(P160*H160)))</f>
        <v>0</v>
      </c>
      <c r="S160" s="5">
        <f>+IF(R160=0,N160,IF($O$3-G160&lt;1,0,(($O$3-G160)*Q160)))</f>
        <v>4355.1400000000003</v>
      </c>
      <c r="T160" s="5">
        <f>+IF(R160=0,S160,S160+R160)</f>
        <v>4355.1400000000003</v>
      </c>
      <c r="U160" s="5">
        <f>+N160-T160</f>
        <v>0</v>
      </c>
    </row>
    <row r="161" spans="1:21">
      <c r="A161" s="47" t="s">
        <v>468</v>
      </c>
      <c r="B161" s="47">
        <v>6034</v>
      </c>
      <c r="C161" s="47" t="s">
        <v>199</v>
      </c>
      <c r="G161" s="47">
        <v>2006</v>
      </c>
      <c r="H161" s="47">
        <v>3</v>
      </c>
      <c r="I161" s="47">
        <v>0.33</v>
      </c>
      <c r="J161" s="47" t="s">
        <v>30</v>
      </c>
      <c r="K161" s="47">
        <v>5</v>
      </c>
      <c r="L161" s="47">
        <f>G161+K161</f>
        <v>2011</v>
      </c>
      <c r="M161" s="48">
        <f>+L161+(H161/12)</f>
        <v>2011.25</v>
      </c>
      <c r="N161" s="5">
        <v>19888.93</v>
      </c>
      <c r="O161" s="5">
        <f>N161-N161*I161</f>
        <v>13325.5831</v>
      </c>
      <c r="P161" s="5">
        <f>O161/K161/12</f>
        <v>222.09305166666664</v>
      </c>
      <c r="Q161" s="5">
        <f>P161*12</f>
        <v>2665.1166199999998</v>
      </c>
      <c r="R161" s="5">
        <f>+IF(M161&lt;=$O$5,0,IF(L161&gt;$O$4,Q161,(P161*H161)))</f>
        <v>0</v>
      </c>
      <c r="S161" s="5">
        <f>+IF(R161=0,N161,IF($O$3-G161&lt;1,0,(($O$3-G161)*Q161)))</f>
        <v>19888.93</v>
      </c>
      <c r="T161" s="5">
        <f>+IF(R161=0,S161,S161+R161)</f>
        <v>19888.93</v>
      </c>
      <c r="U161" s="5">
        <f>+N161-T161</f>
        <v>0</v>
      </c>
    </row>
    <row r="163" spans="1:21">
      <c r="C163" s="49" t="s">
        <v>953</v>
      </c>
    </row>
  </sheetData>
  <mergeCells count="3">
    <mergeCell ref="G9:H9"/>
    <mergeCell ref="G10:H10"/>
    <mergeCell ref="A3:C3"/>
  </mergeCells>
  <phoneticPr fontId="0" type="noConversion"/>
  <pageMargins left="0.7" right="0.7" top="0.75" bottom="0.75" header="0.3" footer="0.3"/>
  <pageSetup scale="44" fitToHeight="4" orientation="landscape" r:id="rId1"/>
  <rowBreaks count="2" manualBreakCount="2">
    <brk id="61" max="20" man="1"/>
    <brk id="111" max="20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446"/>
  <sheetViews>
    <sheetView showGridLines="0" zoomScaleNormal="100" workbookViewId="0">
      <pane ySplit="12" topLeftCell="A13" activePane="bottomLeft" state="frozen"/>
      <selection pane="bottomLeft" activeCell="N20" sqref="N20:O20"/>
    </sheetView>
  </sheetViews>
  <sheetFormatPr defaultRowHeight="15"/>
  <cols>
    <col min="1" max="1" width="13.5703125" customWidth="1"/>
    <col min="2" max="2" width="8" customWidth="1"/>
    <col min="3" max="3" width="10.7109375" customWidth="1"/>
    <col min="4" max="4" width="38" bestFit="1" customWidth="1"/>
    <col min="5" max="6" width="9.42578125" customWidth="1"/>
    <col min="7" max="8" width="6.85546875" customWidth="1"/>
    <col min="9" max="13" width="7.85546875" customWidth="1"/>
    <col min="14" max="14" width="12.42578125" bestFit="1" customWidth="1"/>
    <col min="15" max="21" width="13.7109375" customWidth="1"/>
    <col min="22" max="22" width="8.5703125" customWidth="1"/>
    <col min="23" max="23" width="8" hidden="1" customWidth="1"/>
    <col min="24" max="24" width="9.140625" hidden="1" customWidth="1"/>
  </cols>
  <sheetData>
    <row r="1" spans="1:24">
      <c r="B1" t="s">
        <v>351</v>
      </c>
      <c r="R1">
        <f>'2180 Summary'!F6</f>
        <v>43435</v>
      </c>
      <c r="S1" t="s">
        <v>5</v>
      </c>
    </row>
    <row r="2" spans="1:24">
      <c r="B2" t="s">
        <v>391</v>
      </c>
      <c r="O2">
        <v>5</v>
      </c>
      <c r="P2" t="s">
        <v>0</v>
      </c>
      <c r="R2">
        <f>B3</f>
        <v>43799</v>
      </c>
      <c r="S2" t="s">
        <v>3</v>
      </c>
    </row>
    <row r="3" spans="1:24">
      <c r="B3" s="63">
        <f>'2180 Summary'!A3</f>
        <v>43799</v>
      </c>
      <c r="C3" s="63"/>
      <c r="D3" s="63"/>
      <c r="O3">
        <v>7</v>
      </c>
      <c r="P3" t="s">
        <v>1</v>
      </c>
    </row>
    <row r="5" spans="1:24">
      <c r="O5">
        <v>2017</v>
      </c>
      <c r="P5" t="s">
        <v>2</v>
      </c>
    </row>
    <row r="6" spans="1:24">
      <c r="O6">
        <v>2018</v>
      </c>
      <c r="P6" t="s">
        <v>4</v>
      </c>
    </row>
    <row r="7" spans="1:24" ht="15" customHeight="1"/>
    <row r="8" spans="1:24" ht="12.75" customHeight="1"/>
    <row r="9" spans="1:24">
      <c r="S9" t="s">
        <v>7</v>
      </c>
      <c r="T9" t="s">
        <v>8</v>
      </c>
    </row>
    <row r="10" spans="1:24">
      <c r="G10" s="63" t="s">
        <v>16</v>
      </c>
      <c r="H10" s="63"/>
      <c r="I10" t="s">
        <v>11</v>
      </c>
      <c r="L10" t="s">
        <v>9</v>
      </c>
      <c r="M10" t="s">
        <v>949</v>
      </c>
      <c r="S10" t="s">
        <v>19</v>
      </c>
      <c r="T10" t="s">
        <v>19</v>
      </c>
    </row>
    <row r="11" spans="1:24">
      <c r="G11" s="63" t="s">
        <v>23</v>
      </c>
      <c r="H11" s="63"/>
      <c r="I11" t="s">
        <v>17</v>
      </c>
      <c r="K11" t="s">
        <v>13</v>
      </c>
      <c r="L11" t="s">
        <v>27</v>
      </c>
      <c r="M11" t="s">
        <v>27</v>
      </c>
      <c r="N11" t="s">
        <v>18</v>
      </c>
      <c r="O11" t="s">
        <v>14</v>
      </c>
      <c r="P11" t="s">
        <v>28</v>
      </c>
      <c r="Q11" t="s">
        <v>947</v>
      </c>
      <c r="R11" t="s">
        <v>396</v>
      </c>
      <c r="S11" t="s">
        <v>14</v>
      </c>
      <c r="T11" t="s">
        <v>14</v>
      </c>
      <c r="U11" t="s">
        <v>20</v>
      </c>
    </row>
    <row r="12" spans="1:24">
      <c r="A12" t="s">
        <v>340</v>
      </c>
      <c r="B12" t="s">
        <v>21</v>
      </c>
      <c r="C12" t="s">
        <v>335</v>
      </c>
      <c r="D12" t="s">
        <v>22</v>
      </c>
      <c r="E12" t="s">
        <v>337</v>
      </c>
      <c r="F12" t="s">
        <v>369</v>
      </c>
      <c r="G12" t="s">
        <v>9</v>
      </c>
      <c r="H12" t="s">
        <v>10</v>
      </c>
      <c r="I12" t="s">
        <v>24</v>
      </c>
      <c r="J12" t="s">
        <v>25</v>
      </c>
      <c r="K12" t="s">
        <v>26</v>
      </c>
      <c r="L12" t="s">
        <v>338</v>
      </c>
      <c r="M12" t="s">
        <v>338</v>
      </c>
      <c r="N12" t="s">
        <v>15</v>
      </c>
      <c r="O12" t="s">
        <v>15</v>
      </c>
      <c r="P12" t="s">
        <v>948</v>
      </c>
      <c r="Q12" t="s">
        <v>948</v>
      </c>
      <c r="R12" t="s">
        <v>948</v>
      </c>
      <c r="S12">
        <v>42948</v>
      </c>
      <c r="T12">
        <f>R2</f>
        <v>43799</v>
      </c>
      <c r="U12" t="s">
        <v>29</v>
      </c>
      <c r="X12" t="s">
        <v>423</v>
      </c>
    </row>
    <row r="14" spans="1:24">
      <c r="B14" t="s">
        <v>430</v>
      </c>
    </row>
    <row r="15" spans="1:24">
      <c r="A15" t="s">
        <v>34</v>
      </c>
      <c r="B15" t="s">
        <v>341</v>
      </c>
      <c r="D15" t="s">
        <v>165</v>
      </c>
      <c r="G15">
        <v>1993</v>
      </c>
      <c r="H15">
        <v>6</v>
      </c>
      <c r="I15">
        <v>0</v>
      </c>
      <c r="J15" t="s">
        <v>30</v>
      </c>
      <c r="K15">
        <v>5</v>
      </c>
      <c r="L15">
        <f t="shared" ref="L15:L78" si="0">G15+K15</f>
        <v>1998</v>
      </c>
      <c r="M15">
        <f>+L15+(H15/12)</f>
        <v>1998.5</v>
      </c>
      <c r="N15">
        <v>3719</v>
      </c>
      <c r="O15">
        <f t="shared" ref="O15:O78" si="1">N15-N15*I15</f>
        <v>3719</v>
      </c>
      <c r="P15">
        <f t="shared" ref="P15:P78" si="2">O15/K15/12</f>
        <v>61.983333333333327</v>
      </c>
      <c r="Q15">
        <f>P15*12</f>
        <v>743.8</v>
      </c>
      <c r="R15">
        <f t="shared" ref="R15:R78" si="3">+IF(M15&lt;=$O$6,0,IF(L15&gt;$O$5,Q15,(P15*G15)))</f>
        <v>0</v>
      </c>
      <c r="S15">
        <f>+IF(R15=0,N15,IF($O$5-G15&lt;1,0,(($O$5-G15)*Q15)))</f>
        <v>3719</v>
      </c>
      <c r="T15">
        <f>+IF(R15=0,S15,S15+R15)-(N15-O15)</f>
        <v>3719</v>
      </c>
      <c r="U15">
        <f>+IF(R15=0,0,((N15-S15)+(N15-T15))/2)</f>
        <v>0</v>
      </c>
      <c r="X15">
        <v>0</v>
      </c>
    </row>
    <row r="16" spans="1:24">
      <c r="A16" t="s">
        <v>34</v>
      </c>
      <c r="B16" t="s">
        <v>478</v>
      </c>
      <c r="C16">
        <v>1023</v>
      </c>
      <c r="D16" t="s">
        <v>88</v>
      </c>
      <c r="G16">
        <v>2000</v>
      </c>
      <c r="H16">
        <v>1</v>
      </c>
      <c r="I16">
        <v>0.2</v>
      </c>
      <c r="J16" t="s">
        <v>30</v>
      </c>
      <c r="K16">
        <v>7</v>
      </c>
      <c r="L16">
        <f>G16+K16</f>
        <v>2007</v>
      </c>
      <c r="M16">
        <f t="shared" ref="M16:M79" si="4">+L16+(H16/12)</f>
        <v>2007.0833333333333</v>
      </c>
      <c r="N16">
        <f>34856.01+60270.4</f>
        <v>95126.41</v>
      </c>
      <c r="O16">
        <f t="shared" si="1"/>
        <v>76101.127999999997</v>
      </c>
      <c r="P16">
        <f t="shared" si="2"/>
        <v>905.96580952380953</v>
      </c>
      <c r="Q16">
        <f t="shared" ref="Q16:Q79" si="5">P16*12</f>
        <v>10871.589714285714</v>
      </c>
      <c r="R16">
        <f t="shared" si="3"/>
        <v>0</v>
      </c>
      <c r="S16">
        <f t="shared" ref="S16:S79" si="6">+IF(R16=0,N16,IF($O$5-G16&lt;1,0,(($O$5-G16)*Q16)))</f>
        <v>95126.41</v>
      </c>
      <c r="T16">
        <f t="shared" ref="T16:T79" si="7">+IF(R16=0,S16,S16+R16)-(N16-O16)</f>
        <v>76101.127999999997</v>
      </c>
      <c r="U16">
        <f t="shared" ref="U16:U79" si="8">+IF(R16=0,0,((N16-S16)+(N16-T16))/2)</f>
        <v>0</v>
      </c>
      <c r="X16">
        <v>0</v>
      </c>
    </row>
    <row r="17" spans="1:24">
      <c r="A17" t="s">
        <v>34</v>
      </c>
      <c r="B17" t="s">
        <v>478</v>
      </c>
      <c r="C17">
        <v>1023</v>
      </c>
      <c r="D17" t="s">
        <v>325</v>
      </c>
      <c r="G17">
        <v>2000</v>
      </c>
      <c r="H17">
        <v>2</v>
      </c>
      <c r="I17">
        <v>0.2</v>
      </c>
      <c r="J17" t="s">
        <v>30</v>
      </c>
      <c r="K17">
        <v>7</v>
      </c>
      <c r="L17">
        <f>G17+K17</f>
        <v>2007</v>
      </c>
      <c r="M17">
        <f t="shared" si="4"/>
        <v>2007.1666666666667</v>
      </c>
      <c r="N17">
        <v>3252</v>
      </c>
      <c r="O17">
        <f t="shared" si="1"/>
        <v>2601.6</v>
      </c>
      <c r="P17">
        <f t="shared" si="2"/>
        <v>30.971428571428572</v>
      </c>
      <c r="Q17">
        <f t="shared" si="5"/>
        <v>371.65714285714284</v>
      </c>
      <c r="R17">
        <f t="shared" si="3"/>
        <v>0</v>
      </c>
      <c r="S17">
        <f t="shared" si="6"/>
        <v>3252</v>
      </c>
      <c r="T17">
        <f t="shared" si="7"/>
        <v>2601.6</v>
      </c>
      <c r="U17">
        <f t="shared" si="8"/>
        <v>0</v>
      </c>
      <c r="X17">
        <v>0</v>
      </c>
    </row>
    <row r="18" spans="1:24">
      <c r="A18" t="s">
        <v>34</v>
      </c>
      <c r="B18" t="s">
        <v>341</v>
      </c>
      <c r="C18">
        <v>1027</v>
      </c>
      <c r="D18" t="s">
        <v>769</v>
      </c>
      <c r="E18">
        <v>94206</v>
      </c>
      <c r="G18">
        <v>2000</v>
      </c>
      <c r="H18">
        <v>6</v>
      </c>
      <c r="I18">
        <v>0.2</v>
      </c>
      <c r="J18" t="s">
        <v>30</v>
      </c>
      <c r="K18">
        <v>7</v>
      </c>
      <c r="L18">
        <f>G18+K18</f>
        <v>2007</v>
      </c>
      <c r="M18">
        <f t="shared" si="4"/>
        <v>2007.5</v>
      </c>
      <c r="N18">
        <v>95126.41</v>
      </c>
      <c r="O18">
        <f t="shared" si="1"/>
        <v>76101.127999999997</v>
      </c>
      <c r="P18">
        <f t="shared" si="2"/>
        <v>905.96580952380953</v>
      </c>
      <c r="Q18">
        <f t="shared" si="5"/>
        <v>10871.589714285714</v>
      </c>
      <c r="R18">
        <f t="shared" si="3"/>
        <v>0</v>
      </c>
      <c r="S18">
        <f t="shared" si="6"/>
        <v>95126.41</v>
      </c>
      <c r="T18">
        <f t="shared" si="7"/>
        <v>76101.127999999997</v>
      </c>
      <c r="U18">
        <f t="shared" si="8"/>
        <v>0</v>
      </c>
      <c r="X18">
        <v>0</v>
      </c>
    </row>
    <row r="19" spans="1:24">
      <c r="A19" t="s">
        <v>179</v>
      </c>
      <c r="B19" t="s">
        <v>341</v>
      </c>
      <c r="C19">
        <v>1032</v>
      </c>
      <c r="D19" t="s">
        <v>183</v>
      </c>
      <c r="G19">
        <v>2002</v>
      </c>
      <c r="H19">
        <v>6</v>
      </c>
      <c r="I19">
        <v>0.2</v>
      </c>
      <c r="J19" t="s">
        <v>30</v>
      </c>
      <c r="K19">
        <v>7</v>
      </c>
      <c r="L19">
        <f t="shared" si="0"/>
        <v>2009</v>
      </c>
      <c r="M19">
        <f t="shared" si="4"/>
        <v>2009.5</v>
      </c>
      <c r="N19">
        <v>101881.5</v>
      </c>
      <c r="O19">
        <f t="shared" si="1"/>
        <v>81505.2</v>
      </c>
      <c r="P19">
        <f t="shared" si="2"/>
        <v>970.30000000000007</v>
      </c>
      <c r="Q19">
        <f t="shared" si="5"/>
        <v>11643.6</v>
      </c>
      <c r="R19">
        <f t="shared" si="3"/>
        <v>0</v>
      </c>
      <c r="S19">
        <f t="shared" si="6"/>
        <v>101881.5</v>
      </c>
      <c r="T19">
        <f t="shared" si="7"/>
        <v>81505.2</v>
      </c>
      <c r="U19">
        <f t="shared" si="8"/>
        <v>0</v>
      </c>
      <c r="X19">
        <v>0</v>
      </c>
    </row>
    <row r="20" spans="1:24">
      <c r="B20" t="s">
        <v>341</v>
      </c>
      <c r="C20">
        <v>1034</v>
      </c>
      <c r="D20" t="s">
        <v>37</v>
      </c>
      <c r="G20">
        <v>2002</v>
      </c>
      <c r="H20">
        <v>6</v>
      </c>
      <c r="I20">
        <v>0.2</v>
      </c>
      <c r="J20" t="s">
        <v>30</v>
      </c>
      <c r="K20">
        <v>7</v>
      </c>
      <c r="L20">
        <f t="shared" si="0"/>
        <v>2009</v>
      </c>
      <c r="M20">
        <f t="shared" si="4"/>
        <v>2009.5</v>
      </c>
      <c r="N20">
        <v>101882.5</v>
      </c>
      <c r="O20">
        <f t="shared" si="1"/>
        <v>81506</v>
      </c>
      <c r="P20">
        <f t="shared" si="2"/>
        <v>970.30952380952385</v>
      </c>
      <c r="Q20">
        <f t="shared" si="5"/>
        <v>11643.714285714286</v>
      </c>
      <c r="R20">
        <f t="shared" si="3"/>
        <v>0</v>
      </c>
      <c r="S20">
        <f t="shared" si="6"/>
        <v>101882.5</v>
      </c>
      <c r="T20">
        <f t="shared" si="7"/>
        <v>81506</v>
      </c>
      <c r="U20">
        <f t="shared" si="8"/>
        <v>0</v>
      </c>
      <c r="X20">
        <v>0</v>
      </c>
    </row>
    <row r="21" spans="1:24">
      <c r="A21" t="s">
        <v>161</v>
      </c>
      <c r="B21" t="s">
        <v>345</v>
      </c>
      <c r="C21">
        <v>4517</v>
      </c>
      <c r="D21" t="s">
        <v>595</v>
      </c>
      <c r="E21">
        <v>86841</v>
      </c>
      <c r="G21">
        <v>2004</v>
      </c>
      <c r="H21">
        <v>2</v>
      </c>
      <c r="I21">
        <v>0.2</v>
      </c>
      <c r="J21" t="s">
        <v>30</v>
      </c>
      <c r="K21">
        <v>7</v>
      </c>
      <c r="L21">
        <f t="shared" si="0"/>
        <v>2011</v>
      </c>
      <c r="M21">
        <f t="shared" si="4"/>
        <v>2011.1666666666667</v>
      </c>
      <c r="N21">
        <v>71912.5</v>
      </c>
      <c r="O21">
        <f t="shared" si="1"/>
        <v>57530</v>
      </c>
      <c r="P21">
        <f t="shared" si="2"/>
        <v>684.88095238095241</v>
      </c>
      <c r="Q21">
        <f t="shared" si="5"/>
        <v>8218.5714285714294</v>
      </c>
      <c r="R21">
        <f t="shared" si="3"/>
        <v>0</v>
      </c>
      <c r="S21">
        <f t="shared" si="6"/>
        <v>71912.5</v>
      </c>
      <c r="T21">
        <f t="shared" si="7"/>
        <v>57530</v>
      </c>
      <c r="U21">
        <f t="shared" si="8"/>
        <v>0</v>
      </c>
      <c r="X21">
        <v>0</v>
      </c>
    </row>
    <row r="22" spans="1:24">
      <c r="A22" t="s">
        <v>34</v>
      </c>
      <c r="C22">
        <v>11085</v>
      </c>
      <c r="D22" t="s">
        <v>33</v>
      </c>
      <c r="G22">
        <v>2004</v>
      </c>
      <c r="H22">
        <v>12</v>
      </c>
      <c r="I22">
        <v>0.2</v>
      </c>
      <c r="J22" t="s">
        <v>30</v>
      </c>
      <c r="K22">
        <v>5</v>
      </c>
      <c r="L22">
        <f t="shared" si="0"/>
        <v>2009</v>
      </c>
      <c r="M22">
        <f t="shared" si="4"/>
        <v>2010</v>
      </c>
      <c r="N22">
        <f>154600.26*18/36</f>
        <v>77300.13</v>
      </c>
      <c r="O22">
        <f t="shared" si="1"/>
        <v>61840.104000000007</v>
      </c>
      <c r="P22">
        <f t="shared" si="2"/>
        <v>1030.6684000000002</v>
      </c>
      <c r="Q22">
        <f t="shared" si="5"/>
        <v>12368.020800000002</v>
      </c>
      <c r="R22">
        <f t="shared" si="3"/>
        <v>0</v>
      </c>
      <c r="S22">
        <f t="shared" si="6"/>
        <v>77300.13</v>
      </c>
      <c r="T22">
        <f t="shared" si="7"/>
        <v>61840.104000000007</v>
      </c>
      <c r="U22">
        <f t="shared" si="8"/>
        <v>0</v>
      </c>
      <c r="X22">
        <v>0</v>
      </c>
    </row>
    <row r="23" spans="1:24">
      <c r="A23" t="s">
        <v>193</v>
      </c>
      <c r="B23" t="s">
        <v>345</v>
      </c>
      <c r="C23">
        <v>2023</v>
      </c>
      <c r="D23" t="s">
        <v>198</v>
      </c>
      <c r="G23">
        <v>2005</v>
      </c>
      <c r="H23">
        <v>5</v>
      </c>
      <c r="I23">
        <v>0.2</v>
      </c>
      <c r="J23" t="s">
        <v>30</v>
      </c>
      <c r="K23">
        <v>7</v>
      </c>
      <c r="L23">
        <f t="shared" si="0"/>
        <v>2012</v>
      </c>
      <c r="M23">
        <f t="shared" si="4"/>
        <v>2012.4166666666667</v>
      </c>
      <c r="N23">
        <v>190419.59</v>
      </c>
      <c r="O23">
        <f t="shared" si="1"/>
        <v>152335.67199999999</v>
      </c>
      <c r="P23">
        <f t="shared" si="2"/>
        <v>1813.5199047619046</v>
      </c>
      <c r="Q23">
        <f t="shared" si="5"/>
        <v>21762.238857142856</v>
      </c>
      <c r="R23">
        <f t="shared" si="3"/>
        <v>0</v>
      </c>
      <c r="S23">
        <f t="shared" si="6"/>
        <v>190419.59</v>
      </c>
      <c r="T23">
        <f t="shared" si="7"/>
        <v>152335.67199999999</v>
      </c>
      <c r="U23">
        <f t="shared" si="8"/>
        <v>0</v>
      </c>
      <c r="X23">
        <v>0</v>
      </c>
    </row>
    <row r="24" spans="1:24">
      <c r="A24" t="s">
        <v>34</v>
      </c>
      <c r="B24" t="s">
        <v>344</v>
      </c>
      <c r="C24">
        <v>9578</v>
      </c>
      <c r="D24" t="s">
        <v>181</v>
      </c>
      <c r="G24">
        <v>2005</v>
      </c>
      <c r="H24">
        <v>8</v>
      </c>
      <c r="I24">
        <v>0.33</v>
      </c>
      <c r="J24" t="s">
        <v>30</v>
      </c>
      <c r="K24">
        <v>5</v>
      </c>
      <c r="L24">
        <f t="shared" si="0"/>
        <v>2010</v>
      </c>
      <c r="M24">
        <f t="shared" si="4"/>
        <v>2010.6666666666667</v>
      </c>
      <c r="N24">
        <v>22531.5</v>
      </c>
      <c r="O24">
        <f t="shared" si="1"/>
        <v>15096.105</v>
      </c>
      <c r="P24">
        <f t="shared" si="2"/>
        <v>251.60175000000001</v>
      </c>
      <c r="Q24">
        <f t="shared" si="5"/>
        <v>3019.221</v>
      </c>
      <c r="R24">
        <f t="shared" si="3"/>
        <v>0</v>
      </c>
      <c r="S24">
        <f t="shared" si="6"/>
        <v>22531.5</v>
      </c>
      <c r="T24">
        <f t="shared" si="7"/>
        <v>15096.105</v>
      </c>
      <c r="U24">
        <f t="shared" si="8"/>
        <v>0</v>
      </c>
      <c r="X24">
        <v>0</v>
      </c>
    </row>
    <row r="25" spans="1:24">
      <c r="A25" t="s">
        <v>34</v>
      </c>
      <c r="B25" t="s">
        <v>341</v>
      </c>
      <c r="C25">
        <v>1043</v>
      </c>
      <c r="D25" t="s">
        <v>49</v>
      </c>
      <c r="G25">
        <v>2005</v>
      </c>
      <c r="H25">
        <v>12</v>
      </c>
      <c r="I25">
        <v>0.2</v>
      </c>
      <c r="J25" t="s">
        <v>30</v>
      </c>
      <c r="K25">
        <v>7</v>
      </c>
      <c r="L25">
        <f t="shared" si="0"/>
        <v>2012</v>
      </c>
      <c r="M25">
        <f t="shared" si="4"/>
        <v>2013</v>
      </c>
      <c r="N25">
        <v>125862.6</v>
      </c>
      <c r="O25">
        <f t="shared" si="1"/>
        <v>100690.08</v>
      </c>
      <c r="P25">
        <f t="shared" si="2"/>
        <v>1198.6914285714286</v>
      </c>
      <c r="Q25">
        <f t="shared" si="5"/>
        <v>14384.297142857144</v>
      </c>
      <c r="R25">
        <f t="shared" si="3"/>
        <v>0</v>
      </c>
      <c r="S25">
        <f t="shared" si="6"/>
        <v>125862.6</v>
      </c>
      <c r="T25">
        <f t="shared" si="7"/>
        <v>100690.08</v>
      </c>
      <c r="U25">
        <f t="shared" si="8"/>
        <v>0</v>
      </c>
      <c r="X25">
        <v>0</v>
      </c>
    </row>
    <row r="26" spans="1:24">
      <c r="A26" t="s">
        <v>161</v>
      </c>
      <c r="B26" t="s">
        <v>342</v>
      </c>
      <c r="C26">
        <v>3584</v>
      </c>
      <c r="D26" t="s">
        <v>50</v>
      </c>
      <c r="G26">
        <v>2006</v>
      </c>
      <c r="H26">
        <v>1</v>
      </c>
      <c r="I26">
        <v>0.2</v>
      </c>
      <c r="J26" t="s">
        <v>30</v>
      </c>
      <c r="K26">
        <v>7</v>
      </c>
      <c r="L26">
        <f t="shared" si="0"/>
        <v>2013</v>
      </c>
      <c r="M26">
        <f t="shared" si="4"/>
        <v>2013.0833333333333</v>
      </c>
      <c r="O26">
        <f>N26-N26*I26</f>
        <v>0</v>
      </c>
      <c r="P26">
        <f t="shared" si="2"/>
        <v>0</v>
      </c>
      <c r="Q26">
        <f t="shared" si="5"/>
        <v>0</v>
      </c>
      <c r="R26">
        <f t="shared" si="3"/>
        <v>0</v>
      </c>
      <c r="S26">
        <f t="shared" si="6"/>
        <v>0</v>
      </c>
      <c r="T26">
        <f t="shared" si="7"/>
        <v>0</v>
      </c>
      <c r="U26">
        <f t="shared" si="8"/>
        <v>0</v>
      </c>
      <c r="X26">
        <v>0</v>
      </c>
    </row>
    <row r="27" spans="1:24">
      <c r="A27" t="s">
        <v>34</v>
      </c>
      <c r="B27" t="s">
        <v>341</v>
      </c>
      <c r="C27">
        <v>1044</v>
      </c>
      <c r="D27" t="s">
        <v>205</v>
      </c>
      <c r="G27">
        <v>2006</v>
      </c>
      <c r="H27">
        <v>2</v>
      </c>
      <c r="I27">
        <v>0.2</v>
      </c>
      <c r="J27" t="s">
        <v>30</v>
      </c>
      <c r="K27">
        <v>7</v>
      </c>
      <c r="L27">
        <f t="shared" si="0"/>
        <v>2013</v>
      </c>
      <c r="M27">
        <f t="shared" si="4"/>
        <v>2013.1666666666667</v>
      </c>
      <c r="N27">
        <v>122285.81</v>
      </c>
      <c r="O27">
        <f t="shared" si="1"/>
        <v>97828.648000000001</v>
      </c>
      <c r="P27">
        <f t="shared" si="2"/>
        <v>1164.6267619047619</v>
      </c>
      <c r="Q27">
        <f t="shared" si="5"/>
        <v>13975.521142857142</v>
      </c>
      <c r="R27">
        <f t="shared" si="3"/>
        <v>0</v>
      </c>
      <c r="S27">
        <f t="shared" si="6"/>
        <v>122285.81</v>
      </c>
      <c r="T27">
        <f t="shared" si="7"/>
        <v>97828.648000000001</v>
      </c>
      <c r="U27">
        <f t="shared" si="8"/>
        <v>0</v>
      </c>
      <c r="X27">
        <v>0</v>
      </c>
    </row>
    <row r="28" spans="1:24">
      <c r="A28" t="s">
        <v>34</v>
      </c>
      <c r="B28" t="s">
        <v>342</v>
      </c>
      <c r="C28">
        <v>3594</v>
      </c>
      <c r="D28" t="s">
        <v>51</v>
      </c>
      <c r="G28">
        <v>2006</v>
      </c>
      <c r="H28">
        <v>5</v>
      </c>
      <c r="I28">
        <v>0.2</v>
      </c>
      <c r="J28" t="s">
        <v>30</v>
      </c>
      <c r="K28">
        <v>7</v>
      </c>
      <c r="L28">
        <f t="shared" si="0"/>
        <v>2013</v>
      </c>
      <c r="M28">
        <f t="shared" si="4"/>
        <v>2013.4166666666667</v>
      </c>
      <c r="N28">
        <v>183553.22</v>
      </c>
      <c r="O28">
        <f t="shared" si="1"/>
        <v>146842.576</v>
      </c>
      <c r="P28">
        <f t="shared" si="2"/>
        <v>1748.1259047619048</v>
      </c>
      <c r="Q28">
        <f t="shared" si="5"/>
        <v>20977.510857142857</v>
      </c>
      <c r="R28">
        <f t="shared" si="3"/>
        <v>0</v>
      </c>
      <c r="S28">
        <f t="shared" si="6"/>
        <v>183553.22</v>
      </c>
      <c r="T28">
        <f t="shared" si="7"/>
        <v>146842.576</v>
      </c>
      <c r="U28">
        <f t="shared" si="8"/>
        <v>0</v>
      </c>
      <c r="X28">
        <v>0</v>
      </c>
    </row>
    <row r="29" spans="1:24">
      <c r="A29" t="s">
        <v>34</v>
      </c>
      <c r="B29" t="s">
        <v>345</v>
      </c>
      <c r="C29">
        <v>2025</v>
      </c>
      <c r="D29" t="s">
        <v>774</v>
      </c>
      <c r="G29">
        <v>2006</v>
      </c>
      <c r="H29">
        <v>8</v>
      </c>
      <c r="I29">
        <v>0.2</v>
      </c>
      <c r="J29" t="s">
        <v>30</v>
      </c>
      <c r="K29">
        <v>7</v>
      </c>
      <c r="L29">
        <f>G29+K29</f>
        <v>2013</v>
      </c>
      <c r="M29">
        <f t="shared" si="4"/>
        <v>2013.6666666666667</v>
      </c>
      <c r="N29">
        <v>208742.37</v>
      </c>
      <c r="O29">
        <f t="shared" si="1"/>
        <v>166993.89600000001</v>
      </c>
      <c r="P29">
        <f t="shared" si="2"/>
        <v>1988.0225714285716</v>
      </c>
      <c r="Q29">
        <f t="shared" si="5"/>
        <v>23856.270857142859</v>
      </c>
      <c r="R29">
        <f t="shared" si="3"/>
        <v>0</v>
      </c>
      <c r="S29">
        <f t="shared" si="6"/>
        <v>208742.37</v>
      </c>
      <c r="T29">
        <f t="shared" si="7"/>
        <v>166993.89600000001</v>
      </c>
      <c r="U29">
        <f t="shared" si="8"/>
        <v>0</v>
      </c>
      <c r="X29">
        <v>0</v>
      </c>
    </row>
    <row r="30" spans="1:24">
      <c r="A30" t="s">
        <v>34</v>
      </c>
      <c r="B30" t="s">
        <v>341</v>
      </c>
      <c r="C30">
        <v>1048</v>
      </c>
      <c r="D30" t="s">
        <v>775</v>
      </c>
      <c r="G30">
        <v>2006</v>
      </c>
      <c r="H30">
        <v>11</v>
      </c>
      <c r="I30">
        <v>0.2</v>
      </c>
      <c r="J30" t="s">
        <v>30</v>
      </c>
      <c r="K30">
        <v>7</v>
      </c>
      <c r="L30">
        <f>G30+K30</f>
        <v>2013</v>
      </c>
      <c r="M30">
        <f t="shared" si="4"/>
        <v>2013.9166666666667</v>
      </c>
      <c r="N30">
        <v>126621.44</v>
      </c>
      <c r="O30">
        <f t="shared" si="1"/>
        <v>101297.152</v>
      </c>
      <c r="P30">
        <f t="shared" si="2"/>
        <v>1205.9184761904762</v>
      </c>
      <c r="Q30">
        <f t="shared" si="5"/>
        <v>14471.021714285715</v>
      </c>
      <c r="R30">
        <f t="shared" si="3"/>
        <v>0</v>
      </c>
      <c r="S30">
        <f t="shared" si="6"/>
        <v>126621.44</v>
      </c>
      <c r="T30">
        <f t="shared" si="7"/>
        <v>101297.152</v>
      </c>
      <c r="U30">
        <f t="shared" si="8"/>
        <v>0</v>
      </c>
      <c r="X30">
        <v>0</v>
      </c>
    </row>
    <row r="31" spans="1:24">
      <c r="A31" t="s">
        <v>34</v>
      </c>
      <c r="B31" t="s">
        <v>341</v>
      </c>
      <c r="C31">
        <v>1052</v>
      </c>
      <c r="D31" t="s">
        <v>210</v>
      </c>
      <c r="G31">
        <v>2006</v>
      </c>
      <c r="H31">
        <v>12</v>
      </c>
      <c r="I31">
        <v>0.2</v>
      </c>
      <c r="J31" t="s">
        <v>30</v>
      </c>
      <c r="K31">
        <v>7</v>
      </c>
      <c r="L31">
        <f t="shared" si="0"/>
        <v>2013</v>
      </c>
      <c r="M31">
        <f t="shared" si="4"/>
        <v>2014</v>
      </c>
      <c r="N31">
        <v>122672</v>
      </c>
      <c r="O31">
        <f t="shared" si="1"/>
        <v>98137.600000000006</v>
      </c>
      <c r="P31">
        <f t="shared" si="2"/>
        <v>1168.304761904762</v>
      </c>
      <c r="Q31">
        <f t="shared" si="5"/>
        <v>14019.657142857144</v>
      </c>
      <c r="R31">
        <f t="shared" si="3"/>
        <v>0</v>
      </c>
      <c r="S31">
        <f t="shared" si="6"/>
        <v>122672</v>
      </c>
      <c r="T31">
        <f t="shared" si="7"/>
        <v>98137.600000000006</v>
      </c>
      <c r="U31">
        <f t="shared" si="8"/>
        <v>0</v>
      </c>
      <c r="X31">
        <v>0</v>
      </c>
    </row>
    <row r="32" spans="1:24">
      <c r="A32" t="s">
        <v>34</v>
      </c>
      <c r="B32" t="s">
        <v>342</v>
      </c>
      <c r="C32">
        <v>3595</v>
      </c>
      <c r="D32" t="s">
        <v>206</v>
      </c>
      <c r="G32">
        <v>2006</v>
      </c>
      <c r="H32">
        <v>12</v>
      </c>
      <c r="I32">
        <v>0.2</v>
      </c>
      <c r="J32" t="s">
        <v>30</v>
      </c>
      <c r="K32">
        <v>7</v>
      </c>
      <c r="L32">
        <f t="shared" si="0"/>
        <v>2013</v>
      </c>
      <c r="M32">
        <f t="shared" si="4"/>
        <v>2014</v>
      </c>
      <c r="N32">
        <v>183553.22</v>
      </c>
      <c r="O32">
        <f t="shared" si="1"/>
        <v>146842.576</v>
      </c>
      <c r="P32">
        <f t="shared" si="2"/>
        <v>1748.1259047619048</v>
      </c>
      <c r="Q32">
        <f t="shared" si="5"/>
        <v>20977.510857142857</v>
      </c>
      <c r="R32">
        <f t="shared" si="3"/>
        <v>0</v>
      </c>
      <c r="S32">
        <f t="shared" si="6"/>
        <v>183553.22</v>
      </c>
      <c r="T32">
        <f t="shared" si="7"/>
        <v>146842.576</v>
      </c>
      <c r="U32">
        <f t="shared" si="8"/>
        <v>0</v>
      </c>
      <c r="X32">
        <v>0</v>
      </c>
    </row>
    <row r="33" spans="1:24">
      <c r="A33" t="s">
        <v>34</v>
      </c>
      <c r="D33" t="s">
        <v>446</v>
      </c>
      <c r="E33" t="s">
        <v>445</v>
      </c>
      <c r="G33">
        <v>2006</v>
      </c>
      <c r="H33">
        <v>12</v>
      </c>
      <c r="I33">
        <v>0</v>
      </c>
      <c r="J33" t="s">
        <v>30</v>
      </c>
      <c r="K33">
        <v>5</v>
      </c>
      <c r="L33">
        <f t="shared" si="0"/>
        <v>2011</v>
      </c>
      <c r="M33">
        <f t="shared" si="4"/>
        <v>2012</v>
      </c>
      <c r="N33">
        <f>(9918.49+20060.36+141742.3)*18/36</f>
        <v>85860.574999999997</v>
      </c>
      <c r="O33">
        <f t="shared" si="1"/>
        <v>85860.574999999997</v>
      </c>
      <c r="P33">
        <f t="shared" si="2"/>
        <v>1431.0095833333332</v>
      </c>
      <c r="Q33">
        <f t="shared" si="5"/>
        <v>17172.114999999998</v>
      </c>
      <c r="R33">
        <f t="shared" si="3"/>
        <v>0</v>
      </c>
      <c r="S33">
        <f t="shared" si="6"/>
        <v>85860.574999999997</v>
      </c>
      <c r="T33">
        <f t="shared" si="7"/>
        <v>85860.574999999997</v>
      </c>
      <c r="U33">
        <f t="shared" si="8"/>
        <v>0</v>
      </c>
      <c r="X33">
        <v>0</v>
      </c>
    </row>
    <row r="34" spans="1:24">
      <c r="A34" t="s">
        <v>34</v>
      </c>
      <c r="C34">
        <v>1052</v>
      </c>
      <c r="D34" t="s">
        <v>326</v>
      </c>
      <c r="G34">
        <v>2007</v>
      </c>
      <c r="H34">
        <v>1</v>
      </c>
      <c r="I34">
        <v>0.2</v>
      </c>
      <c r="J34" t="s">
        <v>30</v>
      </c>
      <c r="K34">
        <v>7</v>
      </c>
      <c r="L34">
        <f t="shared" si="0"/>
        <v>2014</v>
      </c>
      <c r="M34">
        <f t="shared" si="4"/>
        <v>2014.0833333333333</v>
      </c>
      <c r="N34">
        <v>3949.44</v>
      </c>
      <c r="O34">
        <f t="shared" si="1"/>
        <v>3159.5520000000001</v>
      </c>
      <c r="P34">
        <f t="shared" si="2"/>
        <v>37.613714285714288</v>
      </c>
      <c r="Q34">
        <f t="shared" si="5"/>
        <v>451.36457142857148</v>
      </c>
      <c r="R34">
        <f t="shared" si="3"/>
        <v>0</v>
      </c>
      <c r="S34">
        <f t="shared" si="6"/>
        <v>3949.44</v>
      </c>
      <c r="T34">
        <f t="shared" si="7"/>
        <v>3159.5520000000001</v>
      </c>
      <c r="U34">
        <f t="shared" si="8"/>
        <v>0</v>
      </c>
      <c r="X34">
        <v>0</v>
      </c>
    </row>
    <row r="35" spans="1:24">
      <c r="A35" t="s">
        <v>34</v>
      </c>
      <c r="B35" t="s">
        <v>345</v>
      </c>
      <c r="C35">
        <v>2028</v>
      </c>
      <c r="D35" t="s">
        <v>197</v>
      </c>
      <c r="G35">
        <v>2007</v>
      </c>
      <c r="H35">
        <v>1</v>
      </c>
      <c r="I35">
        <v>0.2</v>
      </c>
      <c r="J35" t="s">
        <v>30</v>
      </c>
      <c r="K35">
        <v>7</v>
      </c>
      <c r="L35">
        <f t="shared" si="0"/>
        <v>2014</v>
      </c>
      <c r="M35">
        <f t="shared" si="4"/>
        <v>2014.0833333333333</v>
      </c>
      <c r="N35">
        <v>212773.48</v>
      </c>
      <c r="O35">
        <f t="shared" si="1"/>
        <v>170218.78400000001</v>
      </c>
      <c r="P35">
        <f t="shared" si="2"/>
        <v>2026.4140952380956</v>
      </c>
      <c r="Q35">
        <f t="shared" si="5"/>
        <v>24316.969142857146</v>
      </c>
      <c r="R35">
        <f t="shared" si="3"/>
        <v>0</v>
      </c>
      <c r="S35">
        <f t="shared" si="6"/>
        <v>212773.48</v>
      </c>
      <c r="T35">
        <f t="shared" si="7"/>
        <v>170218.78400000001</v>
      </c>
      <c r="U35">
        <f t="shared" si="8"/>
        <v>0</v>
      </c>
      <c r="X35">
        <v>0</v>
      </c>
    </row>
    <row r="36" spans="1:24">
      <c r="A36" t="s">
        <v>34</v>
      </c>
      <c r="B36" t="s">
        <v>341</v>
      </c>
      <c r="C36">
        <v>1063</v>
      </c>
      <c r="D36" t="s">
        <v>57</v>
      </c>
      <c r="G36">
        <v>2007</v>
      </c>
      <c r="H36">
        <v>5</v>
      </c>
      <c r="I36">
        <v>0.2</v>
      </c>
      <c r="J36" t="s">
        <v>30</v>
      </c>
      <c r="K36">
        <v>7</v>
      </c>
      <c r="L36">
        <f t="shared" si="0"/>
        <v>2014</v>
      </c>
      <c r="M36">
        <f t="shared" si="4"/>
        <v>2014.4166666666667</v>
      </c>
      <c r="N36">
        <v>127343.72</v>
      </c>
      <c r="O36">
        <f t="shared" si="1"/>
        <v>101874.976</v>
      </c>
      <c r="P36">
        <f t="shared" si="2"/>
        <v>1212.7973333333332</v>
      </c>
      <c r="Q36">
        <f t="shared" si="5"/>
        <v>14553.567999999999</v>
      </c>
      <c r="R36">
        <f t="shared" si="3"/>
        <v>0</v>
      </c>
      <c r="S36">
        <f t="shared" si="6"/>
        <v>127343.72</v>
      </c>
      <c r="T36">
        <f t="shared" si="7"/>
        <v>101874.976</v>
      </c>
      <c r="U36">
        <f t="shared" si="8"/>
        <v>0</v>
      </c>
      <c r="X36">
        <v>0</v>
      </c>
    </row>
    <row r="37" spans="1:24">
      <c r="A37" t="s">
        <v>34</v>
      </c>
      <c r="B37" t="s">
        <v>341</v>
      </c>
      <c r="C37">
        <v>1065</v>
      </c>
      <c r="D37" t="s">
        <v>57</v>
      </c>
      <c r="G37">
        <v>2007</v>
      </c>
      <c r="H37">
        <v>5</v>
      </c>
      <c r="I37">
        <v>0.2</v>
      </c>
      <c r="J37" t="s">
        <v>30</v>
      </c>
      <c r="K37">
        <v>7</v>
      </c>
      <c r="L37">
        <f t="shared" si="0"/>
        <v>2014</v>
      </c>
      <c r="M37">
        <f t="shared" si="4"/>
        <v>2014.4166666666667</v>
      </c>
      <c r="N37">
        <v>127343.72</v>
      </c>
      <c r="O37">
        <f t="shared" si="1"/>
        <v>101874.976</v>
      </c>
      <c r="P37">
        <f t="shared" si="2"/>
        <v>1212.7973333333332</v>
      </c>
      <c r="Q37">
        <f t="shared" si="5"/>
        <v>14553.567999999999</v>
      </c>
      <c r="R37">
        <f t="shared" si="3"/>
        <v>0</v>
      </c>
      <c r="S37">
        <f t="shared" si="6"/>
        <v>127343.72</v>
      </c>
      <c r="T37">
        <f t="shared" si="7"/>
        <v>101874.976</v>
      </c>
      <c r="U37">
        <f t="shared" si="8"/>
        <v>0</v>
      </c>
      <c r="X37">
        <v>0</v>
      </c>
    </row>
    <row r="38" spans="1:24">
      <c r="A38" t="s">
        <v>34</v>
      </c>
      <c r="B38" t="s">
        <v>341</v>
      </c>
      <c r="C38">
        <v>1066</v>
      </c>
      <c r="D38" t="s">
        <v>57</v>
      </c>
      <c r="G38">
        <v>2007</v>
      </c>
      <c r="H38">
        <v>5</v>
      </c>
      <c r="I38">
        <v>0.2</v>
      </c>
      <c r="J38" t="s">
        <v>30</v>
      </c>
      <c r="K38">
        <v>7</v>
      </c>
      <c r="L38">
        <f t="shared" si="0"/>
        <v>2014</v>
      </c>
      <c r="M38">
        <f t="shared" si="4"/>
        <v>2014.4166666666667</v>
      </c>
      <c r="N38">
        <v>127343.72</v>
      </c>
      <c r="O38">
        <f t="shared" si="1"/>
        <v>101874.976</v>
      </c>
      <c r="P38">
        <f t="shared" si="2"/>
        <v>1212.7973333333332</v>
      </c>
      <c r="Q38">
        <f t="shared" si="5"/>
        <v>14553.567999999999</v>
      </c>
      <c r="R38">
        <f t="shared" si="3"/>
        <v>0</v>
      </c>
      <c r="S38">
        <f t="shared" si="6"/>
        <v>127343.72</v>
      </c>
      <c r="T38">
        <f t="shared" si="7"/>
        <v>101874.976</v>
      </c>
      <c r="U38">
        <f t="shared" si="8"/>
        <v>0</v>
      </c>
      <c r="X38">
        <v>0</v>
      </c>
    </row>
    <row r="39" spans="1:24">
      <c r="A39" t="s">
        <v>34</v>
      </c>
      <c r="B39" t="s">
        <v>341</v>
      </c>
      <c r="C39">
        <v>1058</v>
      </c>
      <c r="D39" t="s">
        <v>57</v>
      </c>
      <c r="G39">
        <v>2007</v>
      </c>
      <c r="H39">
        <v>5</v>
      </c>
      <c r="I39">
        <v>0.2</v>
      </c>
      <c r="J39" t="s">
        <v>30</v>
      </c>
      <c r="K39">
        <v>7</v>
      </c>
      <c r="L39">
        <f t="shared" si="0"/>
        <v>2014</v>
      </c>
      <c r="M39">
        <f t="shared" si="4"/>
        <v>2014.4166666666667</v>
      </c>
      <c r="N39">
        <v>127343.72</v>
      </c>
      <c r="O39">
        <f t="shared" si="1"/>
        <v>101874.976</v>
      </c>
      <c r="P39">
        <f t="shared" si="2"/>
        <v>1212.7973333333332</v>
      </c>
      <c r="Q39">
        <f t="shared" si="5"/>
        <v>14553.567999999999</v>
      </c>
      <c r="R39">
        <f t="shared" si="3"/>
        <v>0</v>
      </c>
      <c r="S39">
        <f t="shared" si="6"/>
        <v>127343.72</v>
      </c>
      <c r="T39">
        <f t="shared" si="7"/>
        <v>101874.976</v>
      </c>
      <c r="U39">
        <f t="shared" si="8"/>
        <v>0</v>
      </c>
    </row>
    <row r="40" spans="1:24">
      <c r="A40" t="s">
        <v>34</v>
      </c>
      <c r="B40" t="s">
        <v>341</v>
      </c>
      <c r="C40">
        <v>1064</v>
      </c>
      <c r="D40" t="s">
        <v>57</v>
      </c>
      <c r="G40">
        <v>2007</v>
      </c>
      <c r="H40">
        <v>7</v>
      </c>
      <c r="I40">
        <v>0.2</v>
      </c>
      <c r="J40" t="s">
        <v>30</v>
      </c>
      <c r="K40">
        <v>7</v>
      </c>
      <c r="L40">
        <f t="shared" si="0"/>
        <v>2014</v>
      </c>
      <c r="M40">
        <f t="shared" si="4"/>
        <v>2014.5833333333333</v>
      </c>
      <c r="N40">
        <v>127343.72</v>
      </c>
      <c r="O40">
        <f t="shared" si="1"/>
        <v>101874.976</v>
      </c>
      <c r="P40">
        <f t="shared" si="2"/>
        <v>1212.7973333333332</v>
      </c>
      <c r="Q40">
        <f t="shared" si="5"/>
        <v>14553.567999999999</v>
      </c>
      <c r="R40">
        <f t="shared" si="3"/>
        <v>0</v>
      </c>
      <c r="S40">
        <f t="shared" si="6"/>
        <v>127343.72</v>
      </c>
      <c r="T40">
        <f t="shared" si="7"/>
        <v>101874.976</v>
      </c>
      <c r="U40">
        <f t="shared" si="8"/>
        <v>0</v>
      </c>
    </row>
    <row r="41" spans="1:24">
      <c r="A41" t="s">
        <v>34</v>
      </c>
      <c r="B41" t="s">
        <v>342</v>
      </c>
      <c r="C41">
        <v>3610</v>
      </c>
      <c r="D41" t="s">
        <v>211</v>
      </c>
      <c r="G41">
        <v>2007</v>
      </c>
      <c r="H41">
        <v>8</v>
      </c>
      <c r="I41">
        <v>0.2</v>
      </c>
      <c r="J41" t="s">
        <v>30</v>
      </c>
      <c r="K41">
        <v>7</v>
      </c>
      <c r="L41">
        <f t="shared" si="0"/>
        <v>2014</v>
      </c>
      <c r="M41">
        <f>+L41+(H41/12)</f>
        <v>2014.6666666666667</v>
      </c>
      <c r="N41">
        <v>194705.04</v>
      </c>
      <c r="O41">
        <f t="shared" si="1"/>
        <v>155764.03200000001</v>
      </c>
      <c r="P41">
        <f t="shared" si="2"/>
        <v>1854.3337142857144</v>
      </c>
      <c r="Q41">
        <f t="shared" si="5"/>
        <v>22252.004571428573</v>
      </c>
      <c r="R41">
        <f t="shared" si="3"/>
        <v>0</v>
      </c>
      <c r="S41">
        <f t="shared" si="6"/>
        <v>194705.04</v>
      </c>
      <c r="T41">
        <f t="shared" si="7"/>
        <v>155764.03200000001</v>
      </c>
      <c r="U41">
        <f t="shared" si="8"/>
        <v>0</v>
      </c>
    </row>
    <row r="42" spans="1:24">
      <c r="A42" t="s">
        <v>34</v>
      </c>
      <c r="B42" t="s">
        <v>342</v>
      </c>
      <c r="C42">
        <v>3611</v>
      </c>
      <c r="D42" t="s">
        <v>211</v>
      </c>
      <c r="G42">
        <v>2007</v>
      </c>
      <c r="H42">
        <v>8</v>
      </c>
      <c r="I42">
        <v>0.2</v>
      </c>
      <c r="J42" t="s">
        <v>30</v>
      </c>
      <c r="K42">
        <v>7</v>
      </c>
      <c r="L42">
        <f t="shared" si="0"/>
        <v>2014</v>
      </c>
      <c r="M42">
        <f t="shared" si="4"/>
        <v>2014.6666666666667</v>
      </c>
      <c r="N42">
        <v>194705.04</v>
      </c>
      <c r="O42">
        <f t="shared" si="1"/>
        <v>155764.03200000001</v>
      </c>
      <c r="P42">
        <f t="shared" si="2"/>
        <v>1854.3337142857144</v>
      </c>
      <c r="Q42">
        <f t="shared" si="5"/>
        <v>22252.004571428573</v>
      </c>
      <c r="R42">
        <f t="shared" si="3"/>
        <v>0</v>
      </c>
      <c r="S42">
        <f t="shared" si="6"/>
        <v>194705.04</v>
      </c>
      <c r="T42">
        <f t="shared" si="7"/>
        <v>155764.03200000001</v>
      </c>
      <c r="U42">
        <f t="shared" si="8"/>
        <v>0</v>
      </c>
    </row>
    <row r="43" spans="1:24">
      <c r="A43" t="s">
        <v>34</v>
      </c>
      <c r="B43" t="s">
        <v>342</v>
      </c>
      <c r="C43">
        <v>3616</v>
      </c>
      <c r="D43" t="s">
        <v>58</v>
      </c>
      <c r="G43">
        <v>2007</v>
      </c>
      <c r="H43">
        <v>9</v>
      </c>
      <c r="I43">
        <v>0.2</v>
      </c>
      <c r="J43" t="s">
        <v>30</v>
      </c>
      <c r="K43">
        <v>7</v>
      </c>
      <c r="L43">
        <f t="shared" si="0"/>
        <v>2014</v>
      </c>
      <c r="M43">
        <f t="shared" si="4"/>
        <v>2014.75</v>
      </c>
      <c r="N43">
        <v>194705.04</v>
      </c>
      <c r="O43">
        <f t="shared" si="1"/>
        <v>155764.03200000001</v>
      </c>
      <c r="P43">
        <f t="shared" si="2"/>
        <v>1854.3337142857144</v>
      </c>
      <c r="Q43">
        <f t="shared" si="5"/>
        <v>22252.004571428573</v>
      </c>
      <c r="R43">
        <f t="shared" si="3"/>
        <v>0</v>
      </c>
      <c r="S43">
        <f t="shared" si="6"/>
        <v>194705.04</v>
      </c>
      <c r="T43">
        <f t="shared" si="7"/>
        <v>155764.03200000001</v>
      </c>
      <c r="U43">
        <f t="shared" si="8"/>
        <v>0</v>
      </c>
    </row>
    <row r="44" spans="1:24">
      <c r="A44" t="s">
        <v>34</v>
      </c>
      <c r="B44" t="s">
        <v>342</v>
      </c>
      <c r="C44">
        <v>3618</v>
      </c>
      <c r="D44" t="s">
        <v>58</v>
      </c>
      <c r="G44">
        <v>2007</v>
      </c>
      <c r="H44">
        <v>9</v>
      </c>
      <c r="I44">
        <v>0.2</v>
      </c>
      <c r="J44" t="s">
        <v>30</v>
      </c>
      <c r="K44">
        <v>7</v>
      </c>
      <c r="L44">
        <f t="shared" si="0"/>
        <v>2014</v>
      </c>
      <c r="M44">
        <f t="shared" si="4"/>
        <v>2014.75</v>
      </c>
      <c r="N44">
        <v>194705.04</v>
      </c>
      <c r="O44">
        <f t="shared" si="1"/>
        <v>155764.03200000001</v>
      </c>
      <c r="P44">
        <f t="shared" si="2"/>
        <v>1854.3337142857144</v>
      </c>
      <c r="Q44">
        <f t="shared" si="5"/>
        <v>22252.004571428573</v>
      </c>
      <c r="R44">
        <f t="shared" si="3"/>
        <v>0</v>
      </c>
      <c r="S44">
        <f t="shared" si="6"/>
        <v>194705.04</v>
      </c>
      <c r="T44">
        <f t="shared" si="7"/>
        <v>155764.03200000001</v>
      </c>
      <c r="U44">
        <f t="shared" si="8"/>
        <v>0</v>
      </c>
    </row>
    <row r="45" spans="1:24">
      <c r="A45" t="s">
        <v>34</v>
      </c>
      <c r="B45" t="s">
        <v>342</v>
      </c>
      <c r="C45">
        <v>3617</v>
      </c>
      <c r="D45" t="s">
        <v>58</v>
      </c>
      <c r="G45">
        <v>2007</v>
      </c>
      <c r="H45">
        <v>10</v>
      </c>
      <c r="I45">
        <v>0.2</v>
      </c>
      <c r="J45" t="s">
        <v>30</v>
      </c>
      <c r="K45">
        <v>7</v>
      </c>
      <c r="L45">
        <f t="shared" si="0"/>
        <v>2014</v>
      </c>
      <c r="M45">
        <f t="shared" si="4"/>
        <v>2014.8333333333333</v>
      </c>
      <c r="N45">
        <v>194705.04</v>
      </c>
      <c r="O45">
        <f t="shared" si="1"/>
        <v>155764.03200000001</v>
      </c>
      <c r="P45">
        <f t="shared" si="2"/>
        <v>1854.3337142857144</v>
      </c>
      <c r="Q45">
        <f t="shared" si="5"/>
        <v>22252.004571428573</v>
      </c>
      <c r="R45">
        <f t="shared" si="3"/>
        <v>0</v>
      </c>
      <c r="S45">
        <f t="shared" si="6"/>
        <v>194705.04</v>
      </c>
      <c r="T45">
        <f t="shared" si="7"/>
        <v>155764.03200000001</v>
      </c>
      <c r="U45">
        <f t="shared" si="8"/>
        <v>0</v>
      </c>
    </row>
    <row r="46" spans="1:24">
      <c r="A46" t="s">
        <v>34</v>
      </c>
      <c r="B46" t="s">
        <v>342</v>
      </c>
      <c r="C46">
        <v>3619</v>
      </c>
      <c r="D46" t="s">
        <v>58</v>
      </c>
      <c r="G46">
        <v>2007</v>
      </c>
      <c r="H46">
        <v>10</v>
      </c>
      <c r="I46">
        <v>0.2</v>
      </c>
      <c r="J46" t="s">
        <v>30</v>
      </c>
      <c r="K46">
        <v>7</v>
      </c>
      <c r="L46">
        <f t="shared" si="0"/>
        <v>2014</v>
      </c>
      <c r="M46">
        <f t="shared" si="4"/>
        <v>2014.8333333333333</v>
      </c>
      <c r="N46">
        <v>194705.04</v>
      </c>
      <c r="O46">
        <f t="shared" si="1"/>
        <v>155764.03200000001</v>
      </c>
      <c r="P46">
        <f t="shared" si="2"/>
        <v>1854.3337142857144</v>
      </c>
      <c r="Q46">
        <f t="shared" si="5"/>
        <v>22252.004571428573</v>
      </c>
      <c r="R46">
        <f t="shared" si="3"/>
        <v>0</v>
      </c>
      <c r="S46">
        <f t="shared" si="6"/>
        <v>194705.04</v>
      </c>
      <c r="T46">
        <f t="shared" si="7"/>
        <v>155764.03200000001</v>
      </c>
      <c r="U46">
        <f t="shared" si="8"/>
        <v>0</v>
      </c>
    </row>
    <row r="47" spans="1:24">
      <c r="A47" t="s">
        <v>34</v>
      </c>
      <c r="B47" t="s">
        <v>342</v>
      </c>
      <c r="C47">
        <v>3620</v>
      </c>
      <c r="D47" t="s">
        <v>58</v>
      </c>
      <c r="G47">
        <v>2007</v>
      </c>
      <c r="H47">
        <v>10</v>
      </c>
      <c r="I47">
        <v>0.2</v>
      </c>
      <c r="J47" t="s">
        <v>30</v>
      </c>
      <c r="K47">
        <v>7</v>
      </c>
      <c r="L47">
        <f t="shared" si="0"/>
        <v>2014</v>
      </c>
      <c r="M47">
        <f t="shared" si="4"/>
        <v>2014.8333333333333</v>
      </c>
      <c r="N47">
        <v>194705.04</v>
      </c>
      <c r="O47">
        <f t="shared" si="1"/>
        <v>155764.03200000001</v>
      </c>
      <c r="P47">
        <f t="shared" si="2"/>
        <v>1854.3337142857144</v>
      </c>
      <c r="Q47">
        <f t="shared" si="5"/>
        <v>22252.004571428573</v>
      </c>
      <c r="R47">
        <f t="shared" si="3"/>
        <v>0</v>
      </c>
      <c r="S47">
        <f t="shared" si="6"/>
        <v>194705.04</v>
      </c>
      <c r="T47">
        <f t="shared" si="7"/>
        <v>155764.03200000001</v>
      </c>
      <c r="U47">
        <f t="shared" si="8"/>
        <v>0</v>
      </c>
    </row>
    <row r="48" spans="1:24">
      <c r="A48" t="s">
        <v>34</v>
      </c>
      <c r="B48" t="s">
        <v>342</v>
      </c>
      <c r="C48">
        <v>3624</v>
      </c>
      <c r="D48" t="s">
        <v>91</v>
      </c>
      <c r="G48">
        <v>2008</v>
      </c>
      <c r="H48">
        <v>11</v>
      </c>
      <c r="I48">
        <v>0.2</v>
      </c>
      <c r="J48" t="s">
        <v>30</v>
      </c>
      <c r="K48">
        <v>7</v>
      </c>
      <c r="L48">
        <f t="shared" si="0"/>
        <v>2015</v>
      </c>
      <c r="M48">
        <f t="shared" si="4"/>
        <v>2015.9166666666667</v>
      </c>
      <c r="N48">
        <v>222209.95</v>
      </c>
      <c r="O48">
        <f t="shared" si="1"/>
        <v>177767.96000000002</v>
      </c>
      <c r="P48">
        <f t="shared" si="2"/>
        <v>2116.2852380952386</v>
      </c>
      <c r="Q48">
        <f t="shared" si="5"/>
        <v>25395.422857142861</v>
      </c>
      <c r="R48">
        <f t="shared" si="3"/>
        <v>0</v>
      </c>
      <c r="S48">
        <f t="shared" si="6"/>
        <v>222209.95</v>
      </c>
      <c r="T48">
        <f t="shared" si="7"/>
        <v>177767.96000000002</v>
      </c>
      <c r="U48">
        <f t="shared" si="8"/>
        <v>0</v>
      </c>
    </row>
    <row r="49" spans="1:21">
      <c r="A49" t="s">
        <v>34</v>
      </c>
      <c r="B49" t="s">
        <v>342</v>
      </c>
      <c r="C49">
        <v>3626</v>
      </c>
      <c r="D49" t="s">
        <v>257</v>
      </c>
      <c r="G49">
        <v>2008</v>
      </c>
      <c r="H49">
        <v>12</v>
      </c>
      <c r="I49">
        <v>0.2</v>
      </c>
      <c r="J49" t="s">
        <v>30</v>
      </c>
      <c r="K49">
        <v>7</v>
      </c>
      <c r="L49">
        <f t="shared" si="0"/>
        <v>2015</v>
      </c>
      <c r="M49">
        <f t="shared" si="4"/>
        <v>2016</v>
      </c>
      <c r="N49">
        <v>100569.69</v>
      </c>
      <c r="O49">
        <f t="shared" si="1"/>
        <v>80455.752000000008</v>
      </c>
      <c r="P49">
        <f t="shared" si="2"/>
        <v>957.8065714285716</v>
      </c>
      <c r="Q49">
        <f t="shared" si="5"/>
        <v>11493.678857142859</v>
      </c>
      <c r="R49">
        <f t="shared" si="3"/>
        <v>0</v>
      </c>
      <c r="S49">
        <f t="shared" si="6"/>
        <v>100569.69</v>
      </c>
      <c r="T49">
        <f t="shared" si="7"/>
        <v>80455.752000000008</v>
      </c>
      <c r="U49">
        <f t="shared" si="8"/>
        <v>0</v>
      </c>
    </row>
    <row r="50" spans="1:21">
      <c r="B50" t="s">
        <v>344</v>
      </c>
      <c r="C50">
        <v>9578</v>
      </c>
      <c r="D50" t="s">
        <v>316</v>
      </c>
      <c r="G50">
        <v>2009</v>
      </c>
      <c r="H50">
        <v>7</v>
      </c>
      <c r="I50">
        <v>0</v>
      </c>
      <c r="J50" t="s">
        <v>30</v>
      </c>
      <c r="K50">
        <v>3</v>
      </c>
      <c r="L50">
        <f t="shared" si="0"/>
        <v>2012</v>
      </c>
      <c r="M50">
        <f t="shared" si="4"/>
        <v>2012.5833333333333</v>
      </c>
      <c r="N50">
        <v>6184.03</v>
      </c>
      <c r="O50">
        <f t="shared" si="1"/>
        <v>6184.03</v>
      </c>
      <c r="P50">
        <f t="shared" si="2"/>
        <v>171.7786111111111</v>
      </c>
      <c r="Q50">
        <f t="shared" si="5"/>
        <v>2061.3433333333332</v>
      </c>
      <c r="R50">
        <f t="shared" si="3"/>
        <v>0</v>
      </c>
      <c r="S50">
        <f t="shared" si="6"/>
        <v>6184.03</v>
      </c>
      <c r="T50">
        <f t="shared" si="7"/>
        <v>6184.03</v>
      </c>
      <c r="U50">
        <f t="shared" si="8"/>
        <v>0</v>
      </c>
    </row>
    <row r="51" spans="1:21">
      <c r="A51" t="s">
        <v>34</v>
      </c>
      <c r="D51" t="s">
        <v>442</v>
      </c>
      <c r="E51" t="s">
        <v>443</v>
      </c>
      <c r="F51" t="s">
        <v>372</v>
      </c>
      <c r="G51">
        <v>2009</v>
      </c>
      <c r="H51">
        <v>7</v>
      </c>
      <c r="I51">
        <v>0</v>
      </c>
      <c r="J51" t="s">
        <v>30</v>
      </c>
      <c r="K51">
        <v>5</v>
      </c>
      <c r="L51">
        <f t="shared" si="0"/>
        <v>2014</v>
      </c>
      <c r="M51">
        <f t="shared" si="4"/>
        <v>2014.5833333333333</v>
      </c>
      <c r="N51">
        <f>(6722.48+38653.29+641.31+1194.22+14225.95)*38/61</f>
        <v>38272.385245901642</v>
      </c>
      <c r="O51">
        <f t="shared" si="1"/>
        <v>38272.385245901642</v>
      </c>
      <c r="P51">
        <f t="shared" si="2"/>
        <v>637.87308743169399</v>
      </c>
      <c r="Q51">
        <f t="shared" si="5"/>
        <v>7654.4770491803283</v>
      </c>
      <c r="R51">
        <f t="shared" si="3"/>
        <v>0</v>
      </c>
      <c r="S51">
        <f t="shared" si="6"/>
        <v>38272.385245901642</v>
      </c>
      <c r="T51">
        <f t="shared" si="7"/>
        <v>38272.385245901642</v>
      </c>
      <c r="U51">
        <f t="shared" si="8"/>
        <v>0</v>
      </c>
    </row>
    <row r="52" spans="1:21">
      <c r="D52" t="s">
        <v>448</v>
      </c>
      <c r="E52" t="s">
        <v>447</v>
      </c>
      <c r="G52">
        <v>2009</v>
      </c>
      <c r="H52">
        <v>7</v>
      </c>
      <c r="I52">
        <v>0</v>
      </c>
      <c r="J52" t="s">
        <v>30</v>
      </c>
      <c r="K52">
        <v>5</v>
      </c>
      <c r="L52">
        <f t="shared" si="0"/>
        <v>2014</v>
      </c>
      <c r="M52">
        <f t="shared" si="4"/>
        <v>2014.5833333333333</v>
      </c>
      <c r="N52">
        <f>(34912.65+1078.65+10913.06)*18/46</f>
        <v>18353.88</v>
      </c>
      <c r="O52">
        <f t="shared" si="1"/>
        <v>18353.88</v>
      </c>
      <c r="P52">
        <f t="shared" si="2"/>
        <v>305.89800000000002</v>
      </c>
      <c r="Q52">
        <f t="shared" si="5"/>
        <v>3670.7760000000003</v>
      </c>
      <c r="R52">
        <f t="shared" si="3"/>
        <v>0</v>
      </c>
      <c r="S52">
        <f t="shared" si="6"/>
        <v>18353.88</v>
      </c>
      <c r="T52">
        <f t="shared" si="7"/>
        <v>18353.88</v>
      </c>
      <c r="U52">
        <f t="shared" si="8"/>
        <v>0</v>
      </c>
    </row>
    <row r="53" spans="1:21">
      <c r="A53" t="s">
        <v>36</v>
      </c>
      <c r="B53" t="s">
        <v>478</v>
      </c>
      <c r="C53">
        <v>1023</v>
      </c>
      <c r="D53" t="s">
        <v>373</v>
      </c>
      <c r="E53">
        <v>73239</v>
      </c>
      <c r="F53" t="s">
        <v>374</v>
      </c>
      <c r="G53">
        <v>2010</v>
      </c>
      <c r="H53">
        <v>4</v>
      </c>
      <c r="I53">
        <v>0</v>
      </c>
      <c r="J53" t="s">
        <v>30</v>
      </c>
      <c r="K53">
        <v>3</v>
      </c>
      <c r="L53">
        <f t="shared" si="0"/>
        <v>2013</v>
      </c>
      <c r="M53">
        <f t="shared" si="4"/>
        <v>2013.3333333333333</v>
      </c>
      <c r="N53">
        <v>9991.58</v>
      </c>
      <c r="O53">
        <f t="shared" si="1"/>
        <v>9991.58</v>
      </c>
      <c r="P53">
        <f t="shared" si="2"/>
        <v>277.54388888888889</v>
      </c>
      <c r="Q53">
        <f t="shared" si="5"/>
        <v>3330.5266666666666</v>
      </c>
      <c r="R53">
        <f t="shared" si="3"/>
        <v>0</v>
      </c>
      <c r="S53">
        <f t="shared" si="6"/>
        <v>9991.58</v>
      </c>
      <c r="T53">
        <f t="shared" si="7"/>
        <v>9991.58</v>
      </c>
      <c r="U53">
        <f t="shared" si="8"/>
        <v>0</v>
      </c>
    </row>
    <row r="54" spans="1:21">
      <c r="D54" t="s">
        <v>377</v>
      </c>
      <c r="E54">
        <v>75160</v>
      </c>
      <c r="F54" t="s">
        <v>372</v>
      </c>
      <c r="G54">
        <v>2010</v>
      </c>
      <c r="H54">
        <v>6</v>
      </c>
      <c r="I54">
        <v>0</v>
      </c>
      <c r="J54" t="s">
        <v>30</v>
      </c>
      <c r="K54">
        <v>5</v>
      </c>
      <c r="L54">
        <f t="shared" si="0"/>
        <v>2015</v>
      </c>
      <c r="M54">
        <f t="shared" si="4"/>
        <v>2015.5</v>
      </c>
      <c r="N54">
        <f>16772.32*38/61</f>
        <v>10448.330491803279</v>
      </c>
      <c r="O54">
        <f t="shared" si="1"/>
        <v>10448.330491803279</v>
      </c>
      <c r="P54">
        <f t="shared" si="2"/>
        <v>174.13884153005463</v>
      </c>
      <c r="Q54">
        <f t="shared" si="5"/>
        <v>2089.6660983606557</v>
      </c>
      <c r="R54">
        <f t="shared" si="3"/>
        <v>0</v>
      </c>
      <c r="S54">
        <f t="shared" si="6"/>
        <v>10448.330491803279</v>
      </c>
      <c r="T54">
        <f t="shared" si="7"/>
        <v>10448.330491803279</v>
      </c>
      <c r="U54">
        <f t="shared" si="8"/>
        <v>0</v>
      </c>
    </row>
    <row r="55" spans="1:21">
      <c r="A55" t="s">
        <v>34</v>
      </c>
      <c r="B55" t="s">
        <v>342</v>
      </c>
      <c r="C55">
        <v>3630</v>
      </c>
      <c r="D55" t="s">
        <v>393</v>
      </c>
      <c r="E55" t="s">
        <v>394</v>
      </c>
      <c r="G55">
        <v>2010</v>
      </c>
      <c r="H55">
        <v>8</v>
      </c>
      <c r="I55">
        <v>0.2</v>
      </c>
      <c r="J55" t="s">
        <v>30</v>
      </c>
      <c r="K55">
        <v>7</v>
      </c>
      <c r="L55">
        <f t="shared" si="0"/>
        <v>2017</v>
      </c>
      <c r="M55">
        <f t="shared" si="4"/>
        <v>2017.6666666666667</v>
      </c>
      <c r="N55">
        <f>279344.97+463.13</f>
        <v>279808.09999999998</v>
      </c>
      <c r="O55">
        <f t="shared" si="1"/>
        <v>223846.47999999998</v>
      </c>
      <c r="P55">
        <f t="shared" si="2"/>
        <v>2664.8390476190475</v>
      </c>
      <c r="Q55">
        <f t="shared" si="5"/>
        <v>31978.068571428572</v>
      </c>
      <c r="R55">
        <f t="shared" si="3"/>
        <v>0</v>
      </c>
      <c r="S55">
        <f t="shared" si="6"/>
        <v>279808.09999999998</v>
      </c>
      <c r="T55">
        <f t="shared" si="7"/>
        <v>223846.47999999998</v>
      </c>
      <c r="U55">
        <f t="shared" si="8"/>
        <v>0</v>
      </c>
    </row>
    <row r="56" spans="1:21">
      <c r="A56" t="s">
        <v>34</v>
      </c>
      <c r="B56" t="s">
        <v>344</v>
      </c>
      <c r="C56">
        <v>9572</v>
      </c>
      <c r="D56" t="s">
        <v>463</v>
      </c>
      <c r="E56">
        <v>78951</v>
      </c>
      <c r="F56" t="s">
        <v>372</v>
      </c>
      <c r="G56">
        <v>2010</v>
      </c>
      <c r="H56">
        <v>12</v>
      </c>
      <c r="I56">
        <v>0.33</v>
      </c>
      <c r="J56" t="s">
        <v>30</v>
      </c>
      <c r="K56">
        <v>5</v>
      </c>
      <c r="L56">
        <f t="shared" si="0"/>
        <v>2015</v>
      </c>
      <c r="M56">
        <f t="shared" si="4"/>
        <v>2016</v>
      </c>
      <c r="N56">
        <v>15751.58</v>
      </c>
      <c r="O56">
        <f t="shared" si="1"/>
        <v>10553.5586</v>
      </c>
      <c r="P56">
        <f t="shared" si="2"/>
        <v>175.89264333333335</v>
      </c>
      <c r="Q56">
        <f t="shared" si="5"/>
        <v>2110.7117200000002</v>
      </c>
      <c r="R56">
        <f t="shared" si="3"/>
        <v>0</v>
      </c>
      <c r="S56">
        <f t="shared" si="6"/>
        <v>15751.58</v>
      </c>
      <c r="T56">
        <f t="shared" si="7"/>
        <v>10553.5586</v>
      </c>
      <c r="U56">
        <f t="shared" si="8"/>
        <v>0</v>
      </c>
    </row>
    <row r="57" spans="1:21">
      <c r="B57" t="s">
        <v>341</v>
      </c>
      <c r="C57">
        <v>1027</v>
      </c>
      <c r="D57" t="s">
        <v>486</v>
      </c>
      <c r="E57">
        <v>94208</v>
      </c>
      <c r="G57">
        <v>2011</v>
      </c>
      <c r="H57">
        <v>6</v>
      </c>
      <c r="I57">
        <v>0</v>
      </c>
      <c r="J57" t="s">
        <v>30</v>
      </c>
      <c r="K57">
        <v>3</v>
      </c>
      <c r="L57">
        <f t="shared" si="0"/>
        <v>2014</v>
      </c>
      <c r="M57">
        <f t="shared" si="4"/>
        <v>2014.5</v>
      </c>
      <c r="N57">
        <v>7121.09</v>
      </c>
      <c r="O57">
        <f t="shared" si="1"/>
        <v>7121.09</v>
      </c>
      <c r="P57">
        <f t="shared" si="2"/>
        <v>197.80805555555557</v>
      </c>
      <c r="Q57">
        <f t="shared" si="5"/>
        <v>2373.6966666666667</v>
      </c>
      <c r="R57">
        <f t="shared" si="3"/>
        <v>0</v>
      </c>
      <c r="S57">
        <f t="shared" si="6"/>
        <v>7121.09</v>
      </c>
      <c r="T57">
        <f t="shared" si="7"/>
        <v>7121.09</v>
      </c>
      <c r="U57">
        <f t="shared" si="8"/>
        <v>0</v>
      </c>
    </row>
    <row r="58" spans="1:21">
      <c r="A58" t="s">
        <v>34</v>
      </c>
      <c r="B58" t="s">
        <v>342</v>
      </c>
      <c r="C58">
        <v>3631</v>
      </c>
      <c r="D58" t="s">
        <v>598</v>
      </c>
      <c r="E58" t="s">
        <v>599</v>
      </c>
      <c r="G58">
        <v>2011</v>
      </c>
      <c r="H58">
        <v>8</v>
      </c>
      <c r="I58">
        <v>0.2</v>
      </c>
      <c r="J58" t="s">
        <v>30</v>
      </c>
      <c r="K58">
        <v>7</v>
      </c>
      <c r="L58">
        <f t="shared" si="0"/>
        <v>2018</v>
      </c>
      <c r="M58">
        <f t="shared" si="4"/>
        <v>2018.6666666666667</v>
      </c>
      <c r="N58">
        <f>137814.17+156624.2+2451.19</f>
        <v>296889.56</v>
      </c>
      <c r="O58">
        <f t="shared" si="1"/>
        <v>237511.64799999999</v>
      </c>
      <c r="P58">
        <f t="shared" si="2"/>
        <v>2827.5196190476186</v>
      </c>
      <c r="Q58">
        <f t="shared" si="5"/>
        <v>33930.235428571425</v>
      </c>
      <c r="R58">
        <f t="shared" si="3"/>
        <v>33930.235428571425</v>
      </c>
      <c r="S58">
        <f t="shared" si="6"/>
        <v>203581.41257142855</v>
      </c>
      <c r="T58">
        <f t="shared" si="7"/>
        <v>178133.73599999998</v>
      </c>
      <c r="U58">
        <f t="shared" si="8"/>
        <v>106031.98571428574</v>
      </c>
    </row>
    <row r="59" spans="1:21">
      <c r="A59" t="s">
        <v>34</v>
      </c>
      <c r="C59">
        <v>3631</v>
      </c>
      <c r="D59" t="s">
        <v>600</v>
      </c>
      <c r="E59">
        <v>85654</v>
      </c>
      <c r="G59">
        <v>2011</v>
      </c>
      <c r="H59">
        <v>8</v>
      </c>
      <c r="I59">
        <v>0</v>
      </c>
      <c r="J59" t="s">
        <v>30</v>
      </c>
      <c r="K59">
        <v>5</v>
      </c>
      <c r="L59">
        <f t="shared" si="0"/>
        <v>2016</v>
      </c>
      <c r="M59">
        <f t="shared" si="4"/>
        <v>2016.6666666666667</v>
      </c>
      <c r="N59">
        <v>7261.89</v>
      </c>
      <c r="O59">
        <f t="shared" si="1"/>
        <v>7261.89</v>
      </c>
      <c r="P59">
        <f t="shared" si="2"/>
        <v>121.03150000000001</v>
      </c>
      <c r="Q59">
        <f t="shared" si="5"/>
        <v>1452.3780000000002</v>
      </c>
      <c r="R59">
        <f t="shared" si="3"/>
        <v>0</v>
      </c>
      <c r="S59">
        <f t="shared" si="6"/>
        <v>7261.89</v>
      </c>
      <c r="T59">
        <f t="shared" si="7"/>
        <v>7261.89</v>
      </c>
      <c r="U59">
        <f t="shared" si="8"/>
        <v>0</v>
      </c>
    </row>
    <row r="60" spans="1:21">
      <c r="B60" t="s">
        <v>617</v>
      </c>
      <c r="C60">
        <v>3305</v>
      </c>
      <c r="D60" t="s">
        <v>618</v>
      </c>
      <c r="E60" t="s">
        <v>619</v>
      </c>
      <c r="G60">
        <v>2011</v>
      </c>
      <c r="H60">
        <v>11</v>
      </c>
      <c r="I60">
        <v>0.2</v>
      </c>
      <c r="J60" t="s">
        <v>30</v>
      </c>
      <c r="K60">
        <v>7</v>
      </c>
      <c r="L60">
        <f t="shared" si="0"/>
        <v>2018</v>
      </c>
      <c r="M60">
        <f t="shared" si="4"/>
        <v>2018.9166666666667</v>
      </c>
      <c r="N60">
        <f>117533.59+6989.73</f>
        <v>124523.31999999999</v>
      </c>
      <c r="O60">
        <f t="shared" si="1"/>
        <v>99618.655999999988</v>
      </c>
      <c r="P60">
        <f t="shared" si="2"/>
        <v>1185.9363809523809</v>
      </c>
      <c r="Q60">
        <f t="shared" si="5"/>
        <v>14231.23657142857</v>
      </c>
      <c r="R60">
        <f t="shared" si="3"/>
        <v>14231.23657142857</v>
      </c>
      <c r="S60">
        <f t="shared" si="6"/>
        <v>85387.419428571418</v>
      </c>
      <c r="T60">
        <f t="shared" si="7"/>
        <v>74713.991999999984</v>
      </c>
      <c r="U60">
        <f t="shared" si="8"/>
        <v>44472.614285714291</v>
      </c>
    </row>
    <row r="61" spans="1:21">
      <c r="C61">
        <v>1027</v>
      </c>
      <c r="D61" t="s">
        <v>625</v>
      </c>
      <c r="E61">
        <v>94207</v>
      </c>
      <c r="G61">
        <v>2012</v>
      </c>
      <c r="H61">
        <v>1</v>
      </c>
      <c r="I61">
        <v>0</v>
      </c>
      <c r="J61" t="s">
        <v>30</v>
      </c>
      <c r="K61">
        <v>3</v>
      </c>
      <c r="L61">
        <f t="shared" si="0"/>
        <v>2015</v>
      </c>
      <c r="M61">
        <f t="shared" si="4"/>
        <v>2015.0833333333333</v>
      </c>
      <c r="N61">
        <v>9199.7800000000007</v>
      </c>
      <c r="O61">
        <f t="shared" si="1"/>
        <v>9199.7800000000007</v>
      </c>
      <c r="P61">
        <f t="shared" si="2"/>
        <v>255.54944444444448</v>
      </c>
      <c r="Q61">
        <f t="shared" si="5"/>
        <v>3066.5933333333337</v>
      </c>
      <c r="R61">
        <f t="shared" si="3"/>
        <v>0</v>
      </c>
      <c r="S61">
        <f t="shared" si="6"/>
        <v>9199.7800000000007</v>
      </c>
      <c r="T61">
        <f t="shared" si="7"/>
        <v>9199.7800000000007</v>
      </c>
      <c r="U61">
        <f t="shared" si="8"/>
        <v>0</v>
      </c>
    </row>
    <row r="62" spans="1:21">
      <c r="A62" t="s">
        <v>34</v>
      </c>
      <c r="B62" t="s">
        <v>886</v>
      </c>
      <c r="C62">
        <v>626</v>
      </c>
      <c r="D62" t="s">
        <v>909</v>
      </c>
      <c r="E62">
        <v>187421</v>
      </c>
      <c r="G62">
        <v>2012</v>
      </c>
      <c r="H62">
        <v>2</v>
      </c>
      <c r="I62">
        <v>0</v>
      </c>
      <c r="J62" t="s">
        <v>30</v>
      </c>
      <c r="K62">
        <v>10</v>
      </c>
      <c r="L62">
        <f t="shared" si="0"/>
        <v>2022</v>
      </c>
      <c r="M62">
        <f t="shared" si="4"/>
        <v>2022.1666666666667</v>
      </c>
      <c r="N62">
        <v>247726.06</v>
      </c>
      <c r="O62">
        <f t="shared" si="1"/>
        <v>247726.06</v>
      </c>
      <c r="P62">
        <f t="shared" si="2"/>
        <v>2064.3838333333333</v>
      </c>
      <c r="Q62">
        <f t="shared" si="5"/>
        <v>24772.606</v>
      </c>
      <c r="R62">
        <f t="shared" si="3"/>
        <v>24772.606</v>
      </c>
      <c r="S62">
        <f t="shared" si="6"/>
        <v>123863.03</v>
      </c>
      <c r="T62">
        <f t="shared" si="7"/>
        <v>148635.636</v>
      </c>
      <c r="U62">
        <f t="shared" si="8"/>
        <v>111476.727</v>
      </c>
    </row>
    <row r="63" spans="1:21">
      <c r="A63" t="s">
        <v>34</v>
      </c>
      <c r="B63" t="s">
        <v>886</v>
      </c>
      <c r="C63">
        <v>627</v>
      </c>
      <c r="D63" t="s">
        <v>910</v>
      </c>
      <c r="E63">
        <v>187420</v>
      </c>
      <c r="G63">
        <v>2012</v>
      </c>
      <c r="H63">
        <v>1</v>
      </c>
      <c r="I63">
        <v>0</v>
      </c>
      <c r="J63" t="s">
        <v>30</v>
      </c>
      <c r="K63">
        <v>10</v>
      </c>
      <c r="L63">
        <f t="shared" si="0"/>
        <v>2022</v>
      </c>
      <c r="M63">
        <f t="shared" si="4"/>
        <v>2022.0833333333333</v>
      </c>
      <c r="N63">
        <v>247726.06</v>
      </c>
      <c r="O63">
        <f t="shared" si="1"/>
        <v>247726.06</v>
      </c>
      <c r="P63">
        <f t="shared" si="2"/>
        <v>2064.3838333333333</v>
      </c>
      <c r="Q63">
        <f t="shared" si="5"/>
        <v>24772.606</v>
      </c>
      <c r="R63">
        <f t="shared" si="3"/>
        <v>24772.606</v>
      </c>
      <c r="S63">
        <f t="shared" si="6"/>
        <v>123863.03</v>
      </c>
      <c r="T63">
        <f t="shared" si="7"/>
        <v>148635.636</v>
      </c>
      <c r="U63">
        <f t="shared" si="8"/>
        <v>111476.727</v>
      </c>
    </row>
    <row r="64" spans="1:21">
      <c r="B64" t="s">
        <v>342</v>
      </c>
      <c r="C64">
        <v>3634</v>
      </c>
      <c r="D64" t="s">
        <v>642</v>
      </c>
      <c r="E64" t="s">
        <v>643</v>
      </c>
      <c r="G64">
        <v>2012</v>
      </c>
      <c r="H64">
        <v>9</v>
      </c>
      <c r="I64">
        <v>0.2</v>
      </c>
      <c r="J64" t="s">
        <v>30</v>
      </c>
      <c r="K64">
        <v>7</v>
      </c>
      <c r="L64">
        <f t="shared" si="0"/>
        <v>2019</v>
      </c>
      <c r="M64">
        <f t="shared" si="4"/>
        <v>2019.75</v>
      </c>
      <c r="N64">
        <f>314012-63</f>
        <v>313949</v>
      </c>
      <c r="O64">
        <f t="shared" si="1"/>
        <v>251159.2</v>
      </c>
      <c r="P64">
        <f t="shared" si="2"/>
        <v>2989.9904761904763</v>
      </c>
      <c r="Q64">
        <f t="shared" si="5"/>
        <v>35879.885714285716</v>
      </c>
      <c r="R64">
        <f t="shared" si="3"/>
        <v>35879.885714285716</v>
      </c>
      <c r="S64">
        <f t="shared" si="6"/>
        <v>179399.42857142858</v>
      </c>
      <c r="T64">
        <f t="shared" si="7"/>
        <v>152489.51428571431</v>
      </c>
      <c r="U64">
        <f t="shared" si="8"/>
        <v>148004.52857142856</v>
      </c>
    </row>
    <row r="65" spans="1:21">
      <c r="C65">
        <v>3634</v>
      </c>
      <c r="D65" t="s">
        <v>644</v>
      </c>
      <c r="E65">
        <v>98468</v>
      </c>
      <c r="G65">
        <v>2012</v>
      </c>
      <c r="H65">
        <v>9</v>
      </c>
      <c r="I65">
        <v>0</v>
      </c>
      <c r="J65" t="s">
        <v>30</v>
      </c>
      <c r="K65">
        <v>5</v>
      </c>
      <c r="L65">
        <f t="shared" si="0"/>
        <v>2017</v>
      </c>
      <c r="M65">
        <f t="shared" si="4"/>
        <v>2017.75</v>
      </c>
      <c r="N65">
        <v>593</v>
      </c>
      <c r="O65">
        <f t="shared" si="1"/>
        <v>593</v>
      </c>
      <c r="P65">
        <f t="shared" si="2"/>
        <v>9.8833333333333329</v>
      </c>
      <c r="Q65">
        <f t="shared" si="5"/>
        <v>118.6</v>
      </c>
      <c r="R65">
        <f t="shared" si="3"/>
        <v>0</v>
      </c>
      <c r="S65">
        <f t="shared" si="6"/>
        <v>593</v>
      </c>
      <c r="T65">
        <f t="shared" si="7"/>
        <v>593</v>
      </c>
      <c r="U65">
        <f t="shared" si="8"/>
        <v>0</v>
      </c>
    </row>
    <row r="66" spans="1:21">
      <c r="B66" t="s">
        <v>342</v>
      </c>
      <c r="C66">
        <v>3610</v>
      </c>
      <c r="D66" t="s">
        <v>669</v>
      </c>
      <c r="E66">
        <v>105110</v>
      </c>
      <c r="F66">
        <v>60784</v>
      </c>
      <c r="G66">
        <v>2013</v>
      </c>
      <c r="H66">
        <v>6</v>
      </c>
      <c r="I66">
        <v>0</v>
      </c>
      <c r="J66" t="s">
        <v>30</v>
      </c>
      <c r="K66">
        <v>3</v>
      </c>
      <c r="L66">
        <f t="shared" si="0"/>
        <v>2016</v>
      </c>
      <c r="M66">
        <f t="shared" si="4"/>
        <v>2016.5</v>
      </c>
      <c r="N66">
        <v>19105.150000000001</v>
      </c>
      <c r="O66">
        <f t="shared" si="1"/>
        <v>19105.150000000001</v>
      </c>
      <c r="P66">
        <f t="shared" si="2"/>
        <v>530.69861111111118</v>
      </c>
      <c r="Q66">
        <f t="shared" si="5"/>
        <v>6368.3833333333341</v>
      </c>
      <c r="R66">
        <f t="shared" si="3"/>
        <v>0</v>
      </c>
      <c r="S66">
        <f t="shared" si="6"/>
        <v>19105.150000000001</v>
      </c>
      <c r="T66">
        <f t="shared" si="7"/>
        <v>19105.150000000001</v>
      </c>
      <c r="U66">
        <f t="shared" si="8"/>
        <v>0</v>
      </c>
    </row>
    <row r="67" spans="1:21">
      <c r="B67" t="s">
        <v>344</v>
      </c>
      <c r="C67">
        <v>9570</v>
      </c>
      <c r="D67" t="s">
        <v>679</v>
      </c>
      <c r="E67">
        <v>105945</v>
      </c>
      <c r="G67">
        <v>2013</v>
      </c>
      <c r="H67">
        <v>7</v>
      </c>
      <c r="I67">
        <v>0.2</v>
      </c>
      <c r="J67" t="s">
        <v>30</v>
      </c>
      <c r="K67">
        <v>7</v>
      </c>
      <c r="L67">
        <f t="shared" si="0"/>
        <v>2020</v>
      </c>
      <c r="M67">
        <f t="shared" si="4"/>
        <v>2020.5833333333333</v>
      </c>
      <c r="N67">
        <v>53720.41</v>
      </c>
      <c r="O67">
        <f t="shared" si="1"/>
        <v>42976.328000000001</v>
      </c>
      <c r="P67">
        <f t="shared" si="2"/>
        <v>511.62295238095243</v>
      </c>
      <c r="Q67">
        <f t="shared" si="5"/>
        <v>6139.4754285714289</v>
      </c>
      <c r="R67">
        <f t="shared" si="3"/>
        <v>6139.4754285714289</v>
      </c>
      <c r="S67">
        <f t="shared" si="6"/>
        <v>24557.901714285716</v>
      </c>
      <c r="T67">
        <f t="shared" si="7"/>
        <v>19953.295142857143</v>
      </c>
      <c r="U67">
        <f t="shared" si="8"/>
        <v>31464.811571428574</v>
      </c>
    </row>
    <row r="68" spans="1:21">
      <c r="B68" t="s">
        <v>344</v>
      </c>
      <c r="C68">
        <v>3308</v>
      </c>
      <c r="D68" t="s">
        <v>685</v>
      </c>
      <c r="E68">
        <v>107324</v>
      </c>
      <c r="G68">
        <v>2013</v>
      </c>
      <c r="H68">
        <v>9</v>
      </c>
      <c r="I68">
        <v>0.2</v>
      </c>
      <c r="J68" t="s">
        <v>30</v>
      </c>
      <c r="K68">
        <v>7</v>
      </c>
      <c r="L68">
        <f t="shared" si="0"/>
        <v>2020</v>
      </c>
      <c r="M68">
        <f t="shared" si="4"/>
        <v>2020.75</v>
      </c>
      <c r="N68">
        <v>125924.63</v>
      </c>
      <c r="O68">
        <f t="shared" si="1"/>
        <v>100739.704</v>
      </c>
      <c r="P68">
        <f t="shared" si="2"/>
        <v>1199.2821904761904</v>
      </c>
      <c r="Q68">
        <f t="shared" si="5"/>
        <v>14391.386285714285</v>
      </c>
      <c r="R68">
        <f t="shared" si="3"/>
        <v>14391.386285714285</v>
      </c>
      <c r="S68">
        <f t="shared" si="6"/>
        <v>57565.54514285714</v>
      </c>
      <c r="T68">
        <f t="shared" si="7"/>
        <v>46772.005428571414</v>
      </c>
      <c r="U68">
        <f t="shared" si="8"/>
        <v>73755.854714285728</v>
      </c>
    </row>
    <row r="69" spans="1:21">
      <c r="B69" t="s">
        <v>344</v>
      </c>
      <c r="C69">
        <v>3308</v>
      </c>
      <c r="D69" t="s">
        <v>686</v>
      </c>
      <c r="E69">
        <v>107573</v>
      </c>
      <c r="G69">
        <v>2013</v>
      </c>
      <c r="H69">
        <v>9</v>
      </c>
      <c r="I69">
        <v>0.2</v>
      </c>
      <c r="J69" t="s">
        <v>30</v>
      </c>
      <c r="K69">
        <v>7</v>
      </c>
      <c r="L69">
        <f t="shared" si="0"/>
        <v>2020</v>
      </c>
      <c r="M69">
        <f t="shared" si="4"/>
        <v>2020.75</v>
      </c>
      <c r="N69">
        <v>602.30999999999995</v>
      </c>
      <c r="O69">
        <f t="shared" si="1"/>
        <v>481.84799999999996</v>
      </c>
      <c r="P69">
        <f t="shared" si="2"/>
        <v>5.7362857142857138</v>
      </c>
      <c r="Q69">
        <f t="shared" si="5"/>
        <v>68.835428571428565</v>
      </c>
      <c r="R69">
        <f t="shared" si="3"/>
        <v>68.835428571428565</v>
      </c>
      <c r="S69">
        <f t="shared" si="6"/>
        <v>275.34171428571426</v>
      </c>
      <c r="T69">
        <f t="shared" si="7"/>
        <v>223.71514285714284</v>
      </c>
      <c r="U69">
        <f t="shared" si="8"/>
        <v>352.7815714285714</v>
      </c>
    </row>
    <row r="70" spans="1:21">
      <c r="B70" t="s">
        <v>342</v>
      </c>
      <c r="C70">
        <v>3635</v>
      </c>
      <c r="D70" t="s">
        <v>690</v>
      </c>
      <c r="E70" t="s">
        <v>691</v>
      </c>
      <c r="G70">
        <v>2013</v>
      </c>
      <c r="H70">
        <v>10</v>
      </c>
      <c r="I70">
        <v>0.2</v>
      </c>
      <c r="J70" t="s">
        <v>30</v>
      </c>
      <c r="K70">
        <v>7</v>
      </c>
      <c r="L70">
        <f t="shared" si="0"/>
        <v>2020</v>
      </c>
      <c r="M70">
        <f t="shared" si="4"/>
        <v>2020.8333333333333</v>
      </c>
      <c r="N70">
        <f>319248.73+902.53</f>
        <v>320151.26</v>
      </c>
      <c r="O70">
        <f t="shared" si="1"/>
        <v>256121.008</v>
      </c>
      <c r="P70">
        <f t="shared" si="2"/>
        <v>3049.059619047619</v>
      </c>
      <c r="Q70">
        <f t="shared" si="5"/>
        <v>36588.715428571428</v>
      </c>
      <c r="R70">
        <f t="shared" si="3"/>
        <v>36588.715428571428</v>
      </c>
      <c r="S70">
        <f t="shared" si="6"/>
        <v>146354.86171428571</v>
      </c>
      <c r="T70">
        <f t="shared" si="7"/>
        <v>118913.32514285712</v>
      </c>
      <c r="U70">
        <f t="shared" si="8"/>
        <v>187517.16657142859</v>
      </c>
    </row>
    <row r="71" spans="1:21">
      <c r="B71" t="s">
        <v>623</v>
      </c>
      <c r="C71">
        <v>2041</v>
      </c>
      <c r="D71" t="s">
        <v>692</v>
      </c>
      <c r="E71" t="s">
        <v>693</v>
      </c>
      <c r="G71">
        <v>2013</v>
      </c>
      <c r="H71">
        <v>12</v>
      </c>
      <c r="I71">
        <v>0.2</v>
      </c>
      <c r="J71" t="s">
        <v>30</v>
      </c>
      <c r="K71">
        <v>7</v>
      </c>
      <c r="L71">
        <f t="shared" si="0"/>
        <v>2020</v>
      </c>
      <c r="M71">
        <f t="shared" si="4"/>
        <v>2021</v>
      </c>
      <c r="N71">
        <f>295986.36+629.19+798</f>
        <v>297413.55</v>
      </c>
      <c r="O71">
        <f t="shared" si="1"/>
        <v>237930.84</v>
      </c>
      <c r="P71">
        <f t="shared" si="2"/>
        <v>2832.51</v>
      </c>
      <c r="Q71">
        <f t="shared" si="5"/>
        <v>33990.120000000003</v>
      </c>
      <c r="R71">
        <f t="shared" si="3"/>
        <v>33990.120000000003</v>
      </c>
      <c r="S71">
        <f t="shared" si="6"/>
        <v>135960.48000000001</v>
      </c>
      <c r="T71">
        <f t="shared" si="7"/>
        <v>110467.89000000001</v>
      </c>
      <c r="U71">
        <f t="shared" si="8"/>
        <v>174199.36499999999</v>
      </c>
    </row>
    <row r="72" spans="1:21">
      <c r="B72" t="s">
        <v>344</v>
      </c>
      <c r="C72">
        <v>9560</v>
      </c>
      <c r="D72" t="s">
        <v>715</v>
      </c>
      <c r="E72">
        <v>114984</v>
      </c>
      <c r="G72">
        <v>2014</v>
      </c>
      <c r="H72">
        <v>8</v>
      </c>
      <c r="I72">
        <v>0.2</v>
      </c>
      <c r="J72" t="s">
        <v>30</v>
      </c>
      <c r="K72">
        <v>7</v>
      </c>
      <c r="L72">
        <f t="shared" si="0"/>
        <v>2021</v>
      </c>
      <c r="M72">
        <f t="shared" si="4"/>
        <v>2021.6666666666667</v>
      </c>
      <c r="N72">
        <v>59098.89</v>
      </c>
      <c r="O72">
        <f t="shared" si="1"/>
        <v>47279.112000000001</v>
      </c>
      <c r="P72">
        <f t="shared" si="2"/>
        <v>562.84657142857145</v>
      </c>
      <c r="Q72">
        <f t="shared" si="5"/>
        <v>6754.1588571428574</v>
      </c>
      <c r="R72">
        <f t="shared" si="3"/>
        <v>6754.1588571428574</v>
      </c>
      <c r="S72">
        <f t="shared" si="6"/>
        <v>20262.476571428571</v>
      </c>
      <c r="T72">
        <f t="shared" si="7"/>
        <v>15196.857428571431</v>
      </c>
      <c r="U72">
        <f t="shared" si="8"/>
        <v>41369.222999999998</v>
      </c>
    </row>
    <row r="73" spans="1:21">
      <c r="A73" t="s">
        <v>34</v>
      </c>
      <c r="B73" t="s">
        <v>342</v>
      </c>
      <c r="C73">
        <v>3638</v>
      </c>
      <c r="D73" t="s">
        <v>723</v>
      </c>
      <c r="E73">
        <v>115278</v>
      </c>
      <c r="G73">
        <v>2014</v>
      </c>
      <c r="H73">
        <v>8</v>
      </c>
      <c r="I73">
        <v>0.2</v>
      </c>
      <c r="J73" t="s">
        <v>30</v>
      </c>
      <c r="K73">
        <v>7</v>
      </c>
      <c r="L73">
        <f t="shared" si="0"/>
        <v>2021</v>
      </c>
      <c r="M73">
        <f t="shared" si="4"/>
        <v>2021.6666666666667</v>
      </c>
      <c r="N73">
        <f>317973.28+913.92</f>
        <v>318887.2</v>
      </c>
      <c r="O73">
        <f t="shared" si="1"/>
        <v>255109.76000000001</v>
      </c>
      <c r="P73">
        <f t="shared" si="2"/>
        <v>3037.0209523809522</v>
      </c>
      <c r="Q73">
        <f t="shared" si="5"/>
        <v>36444.251428571428</v>
      </c>
      <c r="R73">
        <f t="shared" si="3"/>
        <v>36444.251428571428</v>
      </c>
      <c r="S73">
        <f t="shared" si="6"/>
        <v>109332.75428571428</v>
      </c>
      <c r="T73">
        <f t="shared" si="7"/>
        <v>81999.565714285709</v>
      </c>
      <c r="U73">
        <f t="shared" si="8"/>
        <v>223221.04</v>
      </c>
    </row>
    <row r="74" spans="1:21">
      <c r="C74" t="s">
        <v>734</v>
      </c>
      <c r="D74" t="s">
        <v>720</v>
      </c>
      <c r="E74">
        <v>111005</v>
      </c>
      <c r="G74">
        <v>2014</v>
      </c>
      <c r="H74">
        <v>1</v>
      </c>
      <c r="I74">
        <v>0</v>
      </c>
      <c r="J74" t="s">
        <v>30</v>
      </c>
      <c r="K74">
        <v>5</v>
      </c>
      <c r="L74">
        <f t="shared" si="0"/>
        <v>2019</v>
      </c>
      <c r="M74">
        <f t="shared" si="4"/>
        <v>2019.0833333333333</v>
      </c>
      <c r="N74">
        <v>1223.43</v>
      </c>
      <c r="O74">
        <f t="shared" si="1"/>
        <v>1223.43</v>
      </c>
      <c r="P74">
        <f t="shared" si="2"/>
        <v>20.390499999999999</v>
      </c>
      <c r="Q74">
        <f t="shared" si="5"/>
        <v>244.68599999999998</v>
      </c>
      <c r="R74">
        <f t="shared" si="3"/>
        <v>244.68599999999998</v>
      </c>
      <c r="S74">
        <f t="shared" si="6"/>
        <v>734.05799999999999</v>
      </c>
      <c r="T74">
        <f t="shared" si="7"/>
        <v>978.74399999999991</v>
      </c>
      <c r="U74">
        <f t="shared" si="8"/>
        <v>367.02900000000011</v>
      </c>
    </row>
    <row r="75" spans="1:21">
      <c r="A75" t="s">
        <v>34</v>
      </c>
      <c r="B75" t="s">
        <v>342</v>
      </c>
      <c r="C75">
        <v>3641</v>
      </c>
      <c r="D75" t="s">
        <v>723</v>
      </c>
      <c r="E75">
        <v>117319</v>
      </c>
      <c r="G75">
        <v>2014</v>
      </c>
      <c r="H75">
        <v>11</v>
      </c>
      <c r="I75">
        <v>0.2</v>
      </c>
      <c r="J75" t="s">
        <v>30</v>
      </c>
      <c r="K75">
        <v>7</v>
      </c>
      <c r="L75">
        <f t="shared" si="0"/>
        <v>2021</v>
      </c>
      <c r="M75">
        <f t="shared" si="4"/>
        <v>2021.9166666666667</v>
      </c>
      <c r="N75">
        <v>318890.2</v>
      </c>
      <c r="O75">
        <f t="shared" si="1"/>
        <v>255112.16</v>
      </c>
      <c r="P75">
        <f t="shared" si="2"/>
        <v>3037.0495238095241</v>
      </c>
      <c r="Q75">
        <f t="shared" si="5"/>
        <v>36444.594285714287</v>
      </c>
      <c r="R75">
        <f t="shared" si="3"/>
        <v>36444.594285714287</v>
      </c>
      <c r="S75">
        <f t="shared" si="6"/>
        <v>109333.78285714285</v>
      </c>
      <c r="T75">
        <f t="shared" si="7"/>
        <v>82000.337142857141</v>
      </c>
      <c r="U75">
        <f t="shared" si="8"/>
        <v>223223.14</v>
      </c>
    </row>
    <row r="76" spans="1:21">
      <c r="A76" t="s">
        <v>34</v>
      </c>
      <c r="B76" t="s">
        <v>345</v>
      </c>
      <c r="C76">
        <v>2043</v>
      </c>
      <c r="D76" t="s">
        <v>735</v>
      </c>
      <c r="E76" t="s">
        <v>736</v>
      </c>
      <c r="G76">
        <v>2014</v>
      </c>
      <c r="H76">
        <v>10</v>
      </c>
      <c r="I76">
        <v>0.33</v>
      </c>
      <c r="J76" t="s">
        <v>30</v>
      </c>
      <c r="K76">
        <v>5</v>
      </c>
      <c r="L76">
        <f t="shared" si="0"/>
        <v>2019</v>
      </c>
      <c r="M76">
        <f t="shared" si="4"/>
        <v>2019.8333333333333</v>
      </c>
      <c r="N76">
        <f>257104+22274.73+913.92</f>
        <v>280292.64999999997</v>
      </c>
      <c r="O76">
        <f t="shared" si="1"/>
        <v>187796.07549999998</v>
      </c>
      <c r="P76">
        <f t="shared" si="2"/>
        <v>3129.9345916666662</v>
      </c>
      <c r="Q76">
        <f t="shared" si="5"/>
        <v>37559.215099999994</v>
      </c>
      <c r="R76">
        <f t="shared" si="3"/>
        <v>37559.215099999994</v>
      </c>
      <c r="S76">
        <f t="shared" si="6"/>
        <v>112677.64529999997</v>
      </c>
      <c r="T76">
        <f t="shared" si="7"/>
        <v>57740.285899999988</v>
      </c>
      <c r="U76">
        <f t="shared" si="8"/>
        <v>195083.68439999997</v>
      </c>
    </row>
    <row r="77" spans="1:21">
      <c r="A77" t="s">
        <v>34</v>
      </c>
      <c r="B77" t="s">
        <v>345</v>
      </c>
      <c r="C77">
        <v>2042</v>
      </c>
      <c r="D77" t="s">
        <v>724</v>
      </c>
      <c r="E77">
        <v>114545</v>
      </c>
      <c r="G77">
        <v>2014</v>
      </c>
      <c r="H77">
        <v>7</v>
      </c>
      <c r="I77">
        <v>0.33</v>
      </c>
      <c r="J77" t="s">
        <v>30</v>
      </c>
      <c r="K77">
        <v>5</v>
      </c>
      <c r="L77">
        <f t="shared" si="0"/>
        <v>2019</v>
      </c>
      <c r="M77">
        <f t="shared" si="4"/>
        <v>2019.5833333333333</v>
      </c>
      <c r="N77">
        <v>285481.71999999997</v>
      </c>
      <c r="O77">
        <f t="shared" si="1"/>
        <v>191272.7524</v>
      </c>
      <c r="P77">
        <f t="shared" si="2"/>
        <v>3187.8792066666665</v>
      </c>
      <c r="Q77">
        <f t="shared" si="5"/>
        <v>38254.550479999998</v>
      </c>
      <c r="R77">
        <f t="shared" si="3"/>
        <v>38254.550479999998</v>
      </c>
      <c r="S77">
        <f t="shared" si="6"/>
        <v>114763.65143999999</v>
      </c>
      <c r="T77">
        <f t="shared" si="7"/>
        <v>58809.234320000018</v>
      </c>
      <c r="U77">
        <f t="shared" si="8"/>
        <v>198695.27711999998</v>
      </c>
    </row>
    <row r="78" spans="1:21">
      <c r="C78">
        <v>3309</v>
      </c>
      <c r="D78" t="s">
        <v>739</v>
      </c>
      <c r="E78">
        <v>115086</v>
      </c>
      <c r="G78">
        <v>2014</v>
      </c>
      <c r="H78">
        <v>7</v>
      </c>
      <c r="I78">
        <v>0.2</v>
      </c>
      <c r="J78" t="s">
        <v>30</v>
      </c>
      <c r="K78">
        <v>7</v>
      </c>
      <c r="L78">
        <f t="shared" si="0"/>
        <v>2021</v>
      </c>
      <c r="M78">
        <f t="shared" si="4"/>
        <v>2021.5833333333333</v>
      </c>
      <c r="N78">
        <v>133477.48000000001</v>
      </c>
      <c r="O78">
        <f t="shared" si="1"/>
        <v>106781.98400000001</v>
      </c>
      <c r="P78">
        <f t="shared" si="2"/>
        <v>1271.2140952380953</v>
      </c>
      <c r="Q78">
        <f t="shared" si="5"/>
        <v>15254.569142857144</v>
      </c>
      <c r="R78">
        <f t="shared" si="3"/>
        <v>15254.569142857144</v>
      </c>
      <c r="S78">
        <f t="shared" si="6"/>
        <v>45763.707428571433</v>
      </c>
      <c r="T78">
        <f t="shared" si="7"/>
        <v>34322.780571428579</v>
      </c>
      <c r="U78">
        <f t="shared" si="8"/>
        <v>93434.236000000004</v>
      </c>
    </row>
    <row r="79" spans="1:21">
      <c r="A79" t="s">
        <v>34</v>
      </c>
      <c r="B79" t="s">
        <v>345</v>
      </c>
      <c r="C79">
        <v>2044</v>
      </c>
      <c r="D79" t="s">
        <v>748</v>
      </c>
      <c r="E79" t="s">
        <v>749</v>
      </c>
      <c r="G79">
        <v>2014</v>
      </c>
      <c r="H79">
        <v>12</v>
      </c>
      <c r="I79">
        <v>0.33</v>
      </c>
      <c r="J79" t="s">
        <v>30</v>
      </c>
      <c r="K79">
        <v>5</v>
      </c>
      <c r="L79">
        <f t="shared" ref="L79:L118" si="9">G79+K79</f>
        <v>2019</v>
      </c>
      <c r="M79">
        <f t="shared" si="4"/>
        <v>2020</v>
      </c>
      <c r="N79">
        <f>257933.15+22647</f>
        <v>280580.15000000002</v>
      </c>
      <c r="O79">
        <f t="shared" ref="O79:O118" si="10">N79-N79*I79</f>
        <v>187988.70050000001</v>
      </c>
      <c r="P79">
        <f t="shared" ref="P79:P118" si="11">O79/K79/12</f>
        <v>3133.1450083333334</v>
      </c>
      <c r="Q79">
        <f t="shared" si="5"/>
        <v>37597.740100000003</v>
      </c>
      <c r="R79">
        <f t="shared" ref="R79:R118" si="12">+IF(M79&lt;=$O$6,0,IF(L79&gt;$O$5,Q79,(P79*G79)))</f>
        <v>37597.740100000003</v>
      </c>
      <c r="S79">
        <f t="shared" si="6"/>
        <v>112793.22030000002</v>
      </c>
      <c r="T79">
        <f t="shared" si="7"/>
        <v>57799.510899999994</v>
      </c>
      <c r="U79">
        <f t="shared" si="8"/>
        <v>195283.7844</v>
      </c>
    </row>
    <row r="80" spans="1:21">
      <c r="A80" t="s">
        <v>34</v>
      </c>
      <c r="C80">
        <v>3644</v>
      </c>
      <c r="D80" t="s">
        <v>799</v>
      </c>
      <c r="E80" t="s">
        <v>800</v>
      </c>
      <c r="G80">
        <v>2015</v>
      </c>
      <c r="H80">
        <v>9</v>
      </c>
      <c r="I80">
        <v>0.2</v>
      </c>
      <c r="J80" t="s">
        <v>30</v>
      </c>
      <c r="K80">
        <v>7</v>
      </c>
      <c r="L80">
        <f t="shared" si="9"/>
        <v>2022</v>
      </c>
      <c r="M80">
        <f t="shared" ref="M80:M118" si="13">+L80+(H80/12)</f>
        <v>2022.75</v>
      </c>
      <c r="N80">
        <f>341500.78+3252.04</f>
        <v>344752.82</v>
      </c>
      <c r="O80">
        <f t="shared" si="10"/>
        <v>275802.25599999999</v>
      </c>
      <c r="P80">
        <f t="shared" si="11"/>
        <v>3283.3601904761904</v>
      </c>
      <c r="Q80">
        <f t="shared" ref="Q80:Q117" si="14">P80*12</f>
        <v>39400.322285714283</v>
      </c>
      <c r="R80">
        <f t="shared" si="12"/>
        <v>39400.322285714283</v>
      </c>
      <c r="S80">
        <f t="shared" ref="S80:S118" si="15">+IF(R80=0,N80,IF($O$5-G80&lt;1,0,(($O$5-G80)*Q80)))</f>
        <v>78800.644571428566</v>
      </c>
      <c r="T80">
        <f t="shared" ref="T80:T118" si="16">+IF(R80=0,S80,S80+R80)-(N80-O80)</f>
        <v>49250.402857142835</v>
      </c>
      <c r="U80">
        <f t="shared" ref="U80:U118" si="17">+IF(R80=0,0,((N80-S80)+(N80-T80))/2)</f>
        <v>280727.29628571426</v>
      </c>
    </row>
    <row r="81" spans="2:21">
      <c r="C81">
        <v>3648</v>
      </c>
      <c r="D81" t="s">
        <v>811</v>
      </c>
      <c r="E81">
        <v>128669</v>
      </c>
      <c r="G81">
        <v>2015</v>
      </c>
      <c r="H81">
        <v>12</v>
      </c>
      <c r="I81">
        <v>0.2</v>
      </c>
      <c r="J81" t="s">
        <v>30</v>
      </c>
      <c r="K81">
        <v>7</v>
      </c>
      <c r="L81">
        <f t="shared" si="9"/>
        <v>2022</v>
      </c>
      <c r="M81">
        <f t="shared" si="13"/>
        <v>2023</v>
      </c>
      <c r="N81">
        <v>335912.58</v>
      </c>
      <c r="O81">
        <f t="shared" si="10"/>
        <v>268730.06400000001</v>
      </c>
      <c r="P81">
        <f t="shared" si="11"/>
        <v>3199.1674285714289</v>
      </c>
      <c r="Q81">
        <f t="shared" si="14"/>
        <v>38390.009142857147</v>
      </c>
      <c r="R81">
        <f t="shared" si="12"/>
        <v>38390.009142857147</v>
      </c>
      <c r="S81">
        <f t="shared" si="15"/>
        <v>76780.018285714294</v>
      </c>
      <c r="T81">
        <f t="shared" si="16"/>
        <v>47987.511428571437</v>
      </c>
      <c r="U81">
        <f t="shared" si="17"/>
        <v>273528.81514285714</v>
      </c>
    </row>
    <row r="82" spans="2:21">
      <c r="C82">
        <v>3648</v>
      </c>
      <c r="D82" t="s">
        <v>812</v>
      </c>
      <c r="E82">
        <v>128929</v>
      </c>
      <c r="F82">
        <v>128669</v>
      </c>
      <c r="G82">
        <v>2015</v>
      </c>
      <c r="H82">
        <v>12</v>
      </c>
      <c r="I82">
        <v>0.2</v>
      </c>
      <c r="J82" t="s">
        <v>30</v>
      </c>
      <c r="K82">
        <v>7</v>
      </c>
      <c r="L82">
        <f t="shared" si="9"/>
        <v>2022</v>
      </c>
      <c r="M82">
        <f t="shared" si="13"/>
        <v>2023</v>
      </c>
      <c r="N82">
        <v>1607.35</v>
      </c>
      <c r="O82">
        <f t="shared" si="10"/>
        <v>1285.8799999999999</v>
      </c>
      <c r="P82">
        <f t="shared" si="11"/>
        <v>15.308095238095236</v>
      </c>
      <c r="Q82">
        <f t="shared" si="14"/>
        <v>183.69714285714284</v>
      </c>
      <c r="R82">
        <f t="shared" si="12"/>
        <v>183.69714285714284</v>
      </c>
      <c r="S82">
        <f t="shared" si="15"/>
        <v>367.39428571428567</v>
      </c>
      <c r="T82">
        <f t="shared" si="16"/>
        <v>229.62142857142851</v>
      </c>
      <c r="U82">
        <f t="shared" si="17"/>
        <v>1308.8421428571428</v>
      </c>
    </row>
    <row r="83" spans="2:21">
      <c r="C83">
        <v>3647</v>
      </c>
      <c r="D83" t="s">
        <v>811</v>
      </c>
      <c r="E83">
        <v>128670</v>
      </c>
      <c r="G83">
        <v>2015</v>
      </c>
      <c r="H83">
        <v>12</v>
      </c>
      <c r="I83">
        <v>0.2</v>
      </c>
      <c r="J83" t="s">
        <v>30</v>
      </c>
      <c r="K83">
        <v>7</v>
      </c>
      <c r="L83">
        <f t="shared" si="9"/>
        <v>2022</v>
      </c>
      <c r="M83">
        <f t="shared" si="13"/>
        <v>2023</v>
      </c>
      <c r="N83">
        <v>327882.52</v>
      </c>
      <c r="O83">
        <f t="shared" si="10"/>
        <v>262306.016</v>
      </c>
      <c r="P83">
        <f t="shared" si="11"/>
        <v>3122.6906666666669</v>
      </c>
      <c r="Q83">
        <f t="shared" si="14"/>
        <v>37472.288</v>
      </c>
      <c r="R83">
        <f t="shared" si="12"/>
        <v>37472.288</v>
      </c>
      <c r="S83">
        <f t="shared" si="15"/>
        <v>74944.576000000001</v>
      </c>
      <c r="T83">
        <f t="shared" si="16"/>
        <v>46840.359999999986</v>
      </c>
      <c r="U83">
        <f t="shared" si="17"/>
        <v>266990.05200000003</v>
      </c>
    </row>
    <row r="84" spans="2:21">
      <c r="C84">
        <v>3649</v>
      </c>
      <c r="D84" t="s">
        <v>811</v>
      </c>
      <c r="E84">
        <v>128671</v>
      </c>
      <c r="G84">
        <v>2015</v>
      </c>
      <c r="H84">
        <v>12</v>
      </c>
      <c r="I84">
        <v>0.2</v>
      </c>
      <c r="J84" t="s">
        <v>30</v>
      </c>
      <c r="K84">
        <v>7</v>
      </c>
      <c r="L84">
        <f t="shared" si="9"/>
        <v>2022</v>
      </c>
      <c r="M84">
        <f t="shared" si="13"/>
        <v>2023</v>
      </c>
      <c r="N84">
        <v>335414.45</v>
      </c>
      <c r="O84">
        <f t="shared" si="10"/>
        <v>268331.56</v>
      </c>
      <c r="P84">
        <f t="shared" si="11"/>
        <v>3194.4233333333336</v>
      </c>
      <c r="Q84">
        <f t="shared" si="14"/>
        <v>38333.08</v>
      </c>
      <c r="R84">
        <f t="shared" si="12"/>
        <v>38333.08</v>
      </c>
      <c r="S84">
        <f t="shared" si="15"/>
        <v>76666.16</v>
      </c>
      <c r="T84">
        <f t="shared" si="16"/>
        <v>47916.349999999991</v>
      </c>
      <c r="U84">
        <f t="shared" si="17"/>
        <v>273123.19500000001</v>
      </c>
    </row>
    <row r="85" spans="2:21">
      <c r="C85">
        <v>3649</v>
      </c>
      <c r="D85" t="s">
        <v>812</v>
      </c>
      <c r="E85">
        <v>128928</v>
      </c>
      <c r="F85">
        <v>128671</v>
      </c>
      <c r="G85">
        <v>2015</v>
      </c>
      <c r="H85">
        <v>12</v>
      </c>
      <c r="I85">
        <v>0.2</v>
      </c>
      <c r="J85" t="s">
        <v>30</v>
      </c>
      <c r="K85">
        <v>7</v>
      </c>
      <c r="L85">
        <f t="shared" si="9"/>
        <v>2022</v>
      </c>
      <c r="M85">
        <f t="shared" si="13"/>
        <v>2023</v>
      </c>
      <c r="N85">
        <v>969.39</v>
      </c>
      <c r="O85">
        <f t="shared" si="10"/>
        <v>775.51199999999994</v>
      </c>
      <c r="P85">
        <f t="shared" si="11"/>
        <v>9.2322857142857142</v>
      </c>
      <c r="Q85">
        <f t="shared" si="14"/>
        <v>110.78742857142856</v>
      </c>
      <c r="R85">
        <f t="shared" si="12"/>
        <v>110.78742857142856</v>
      </c>
      <c r="S85">
        <f t="shared" si="15"/>
        <v>221.57485714285713</v>
      </c>
      <c r="T85">
        <f t="shared" si="16"/>
        <v>138.48428571428565</v>
      </c>
      <c r="U85">
        <f t="shared" si="17"/>
        <v>789.36042857142866</v>
      </c>
    </row>
    <row r="86" spans="2:21">
      <c r="C86">
        <v>3649</v>
      </c>
      <c r="D86" t="s">
        <v>732</v>
      </c>
      <c r="E86">
        <v>128671</v>
      </c>
      <c r="F86">
        <v>128671</v>
      </c>
      <c r="G86">
        <v>2015</v>
      </c>
      <c r="H86">
        <v>12</v>
      </c>
      <c r="I86">
        <v>0.2</v>
      </c>
      <c r="J86" t="s">
        <v>30</v>
      </c>
      <c r="K86">
        <v>7</v>
      </c>
      <c r="L86">
        <f t="shared" si="9"/>
        <v>2022</v>
      </c>
      <c r="M86">
        <f t="shared" si="13"/>
        <v>2023</v>
      </c>
      <c r="N86">
        <v>637.96</v>
      </c>
      <c r="O86">
        <f t="shared" si="10"/>
        <v>510.36800000000005</v>
      </c>
      <c r="P86">
        <f t="shared" si="11"/>
        <v>6.0758095238095242</v>
      </c>
      <c r="Q86">
        <f t="shared" si="14"/>
        <v>72.909714285714287</v>
      </c>
      <c r="R86">
        <f t="shared" si="12"/>
        <v>72.909714285714287</v>
      </c>
      <c r="S86">
        <f t="shared" si="15"/>
        <v>145.81942857142857</v>
      </c>
      <c r="T86">
        <f t="shared" si="16"/>
        <v>91.137142857142862</v>
      </c>
      <c r="U86">
        <f t="shared" si="17"/>
        <v>519.48171428571436</v>
      </c>
    </row>
    <row r="87" spans="2:21">
      <c r="C87">
        <v>3649</v>
      </c>
      <c r="D87" t="s">
        <v>818</v>
      </c>
      <c r="E87">
        <v>130455</v>
      </c>
      <c r="F87">
        <v>128671</v>
      </c>
      <c r="G87">
        <v>2016</v>
      </c>
      <c r="H87">
        <v>1</v>
      </c>
      <c r="I87">
        <v>0</v>
      </c>
      <c r="J87" t="s">
        <v>30</v>
      </c>
      <c r="K87">
        <v>10</v>
      </c>
      <c r="L87">
        <f t="shared" si="9"/>
        <v>2026</v>
      </c>
      <c r="M87">
        <f t="shared" si="13"/>
        <v>2026.0833333333333</v>
      </c>
      <c r="N87">
        <v>951.46</v>
      </c>
      <c r="O87">
        <f t="shared" si="10"/>
        <v>951.46</v>
      </c>
      <c r="P87">
        <f t="shared" si="11"/>
        <v>7.9288333333333334</v>
      </c>
      <c r="Q87">
        <f t="shared" si="14"/>
        <v>95.146000000000001</v>
      </c>
      <c r="R87">
        <f t="shared" si="12"/>
        <v>95.146000000000001</v>
      </c>
      <c r="S87">
        <f t="shared" si="15"/>
        <v>95.146000000000001</v>
      </c>
      <c r="T87">
        <f t="shared" si="16"/>
        <v>190.292</v>
      </c>
      <c r="U87">
        <f t="shared" si="17"/>
        <v>808.74099999999999</v>
      </c>
    </row>
    <row r="88" spans="2:21">
      <c r="B88" t="s">
        <v>342</v>
      </c>
      <c r="C88">
        <v>3650</v>
      </c>
      <c r="D88" t="s">
        <v>811</v>
      </c>
      <c r="E88">
        <v>132077</v>
      </c>
      <c r="G88">
        <v>2016</v>
      </c>
      <c r="H88">
        <v>4</v>
      </c>
      <c r="I88">
        <v>0</v>
      </c>
      <c r="J88" t="s">
        <v>30</v>
      </c>
      <c r="K88">
        <v>10</v>
      </c>
      <c r="L88">
        <f t="shared" si="9"/>
        <v>2026</v>
      </c>
      <c r="M88">
        <f t="shared" si="13"/>
        <v>2026.3333333333333</v>
      </c>
      <c r="N88">
        <v>339573.74</v>
      </c>
      <c r="O88">
        <f t="shared" si="10"/>
        <v>339573.74</v>
      </c>
      <c r="P88">
        <f t="shared" si="11"/>
        <v>2829.7811666666662</v>
      </c>
      <c r="Q88">
        <f t="shared" si="14"/>
        <v>33957.373999999996</v>
      </c>
      <c r="R88">
        <f t="shared" si="12"/>
        <v>33957.373999999996</v>
      </c>
      <c r="S88">
        <f t="shared" si="15"/>
        <v>33957.373999999996</v>
      </c>
      <c r="T88">
        <f t="shared" si="16"/>
        <v>67914.747999999992</v>
      </c>
      <c r="U88">
        <f t="shared" si="17"/>
        <v>288637.679</v>
      </c>
    </row>
    <row r="89" spans="2:21">
      <c r="B89" t="s">
        <v>342</v>
      </c>
      <c r="C89">
        <v>3652</v>
      </c>
      <c r="D89" t="s">
        <v>811</v>
      </c>
      <c r="E89">
        <v>132078</v>
      </c>
      <c r="G89">
        <v>2016</v>
      </c>
      <c r="H89">
        <v>4</v>
      </c>
      <c r="I89">
        <v>0</v>
      </c>
      <c r="J89" t="s">
        <v>30</v>
      </c>
      <c r="K89">
        <v>10</v>
      </c>
      <c r="L89">
        <f t="shared" si="9"/>
        <v>2026</v>
      </c>
      <c r="M89">
        <f t="shared" si="13"/>
        <v>2026.3333333333333</v>
      </c>
      <c r="N89">
        <v>336680.5</v>
      </c>
      <c r="O89">
        <f t="shared" si="10"/>
        <v>336680.5</v>
      </c>
      <c r="P89">
        <f t="shared" si="11"/>
        <v>2805.6708333333336</v>
      </c>
      <c r="Q89">
        <f t="shared" si="14"/>
        <v>33668.050000000003</v>
      </c>
      <c r="R89">
        <f t="shared" si="12"/>
        <v>33668.050000000003</v>
      </c>
      <c r="S89">
        <f t="shared" si="15"/>
        <v>33668.050000000003</v>
      </c>
      <c r="T89">
        <f t="shared" si="16"/>
        <v>67336.100000000006</v>
      </c>
      <c r="U89">
        <f t="shared" si="17"/>
        <v>286178.42500000005</v>
      </c>
    </row>
    <row r="90" spans="2:21">
      <c r="B90" t="s">
        <v>342</v>
      </c>
      <c r="C90">
        <v>3651</v>
      </c>
      <c r="D90" t="s">
        <v>811</v>
      </c>
      <c r="E90">
        <v>132079</v>
      </c>
      <c r="G90">
        <v>2016</v>
      </c>
      <c r="H90">
        <v>4</v>
      </c>
      <c r="I90">
        <v>0</v>
      </c>
      <c r="J90" t="s">
        <v>30</v>
      </c>
      <c r="K90">
        <v>10</v>
      </c>
      <c r="L90">
        <f t="shared" si="9"/>
        <v>2026</v>
      </c>
      <c r="M90">
        <f t="shared" si="13"/>
        <v>2026.3333333333333</v>
      </c>
      <c r="N90">
        <v>337626.52</v>
      </c>
      <c r="O90">
        <f t="shared" si="10"/>
        <v>337626.52</v>
      </c>
      <c r="P90">
        <f t="shared" si="11"/>
        <v>2813.5543333333335</v>
      </c>
      <c r="Q90">
        <f t="shared" si="14"/>
        <v>33762.652000000002</v>
      </c>
      <c r="R90">
        <f t="shared" si="12"/>
        <v>33762.652000000002</v>
      </c>
      <c r="S90">
        <f t="shared" si="15"/>
        <v>33762.652000000002</v>
      </c>
      <c r="T90">
        <f t="shared" si="16"/>
        <v>67525.304000000004</v>
      </c>
      <c r="U90">
        <f t="shared" si="17"/>
        <v>286982.54200000002</v>
      </c>
    </row>
    <row r="91" spans="2:21">
      <c r="B91" t="s">
        <v>345</v>
      </c>
      <c r="C91">
        <v>2045</v>
      </c>
      <c r="D91" t="s">
        <v>831</v>
      </c>
      <c r="E91">
        <v>133441</v>
      </c>
      <c r="G91">
        <v>2016</v>
      </c>
      <c r="H91">
        <v>6</v>
      </c>
      <c r="I91">
        <v>0</v>
      </c>
      <c r="J91" t="s">
        <v>30</v>
      </c>
      <c r="K91">
        <v>10</v>
      </c>
      <c r="L91">
        <f t="shared" si="9"/>
        <v>2026</v>
      </c>
      <c r="M91">
        <f t="shared" si="13"/>
        <v>2026.5</v>
      </c>
      <c r="N91">
        <v>315919.88</v>
      </c>
      <c r="O91">
        <f t="shared" si="10"/>
        <v>315919.88</v>
      </c>
      <c r="P91">
        <f t="shared" si="11"/>
        <v>2632.6656666666668</v>
      </c>
      <c r="Q91">
        <f t="shared" si="14"/>
        <v>31591.988000000001</v>
      </c>
      <c r="R91">
        <f t="shared" si="12"/>
        <v>31591.988000000001</v>
      </c>
      <c r="S91">
        <f t="shared" si="15"/>
        <v>31591.988000000001</v>
      </c>
      <c r="T91">
        <f t="shared" si="16"/>
        <v>63183.976000000002</v>
      </c>
      <c r="U91">
        <f t="shared" si="17"/>
        <v>268531.89799999999</v>
      </c>
    </row>
    <row r="92" spans="2:21">
      <c r="B92" t="s">
        <v>345</v>
      </c>
      <c r="C92">
        <v>2045</v>
      </c>
      <c r="D92" t="s">
        <v>836</v>
      </c>
      <c r="E92">
        <v>166253</v>
      </c>
      <c r="F92">
        <v>133441</v>
      </c>
      <c r="G92">
        <v>2016</v>
      </c>
      <c r="H92">
        <v>6</v>
      </c>
      <c r="I92">
        <v>0</v>
      </c>
      <c r="J92" t="s">
        <v>30</v>
      </c>
      <c r="K92">
        <v>10</v>
      </c>
      <c r="L92">
        <f t="shared" si="9"/>
        <v>2026</v>
      </c>
      <c r="M92">
        <f t="shared" si="13"/>
        <v>2026.5</v>
      </c>
      <c r="N92">
        <v>6375.7</v>
      </c>
      <c r="O92">
        <f t="shared" si="10"/>
        <v>6375.7</v>
      </c>
      <c r="P92">
        <f t="shared" si="11"/>
        <v>53.130833333333328</v>
      </c>
      <c r="Q92">
        <f t="shared" si="14"/>
        <v>637.56999999999994</v>
      </c>
      <c r="R92">
        <f t="shared" si="12"/>
        <v>637.56999999999994</v>
      </c>
      <c r="S92">
        <f t="shared" si="15"/>
        <v>637.56999999999994</v>
      </c>
      <c r="T92">
        <f t="shared" si="16"/>
        <v>1275.1399999999999</v>
      </c>
      <c r="U92">
        <f t="shared" si="17"/>
        <v>5419.3449999999993</v>
      </c>
    </row>
    <row r="93" spans="2:21">
      <c r="B93" t="s">
        <v>341</v>
      </c>
      <c r="C93">
        <v>1065</v>
      </c>
      <c r="D93" t="s">
        <v>837</v>
      </c>
      <c r="E93">
        <v>166606</v>
      </c>
      <c r="F93">
        <v>60779</v>
      </c>
      <c r="G93">
        <v>2016</v>
      </c>
      <c r="H93">
        <v>7</v>
      </c>
      <c r="I93">
        <v>0</v>
      </c>
      <c r="J93" t="s">
        <v>30</v>
      </c>
      <c r="K93">
        <v>3</v>
      </c>
      <c r="L93">
        <f t="shared" si="9"/>
        <v>2019</v>
      </c>
      <c r="M93">
        <f t="shared" si="13"/>
        <v>2019.5833333333333</v>
      </c>
      <c r="N93">
        <v>16305.92</v>
      </c>
      <c r="O93">
        <f t="shared" si="10"/>
        <v>16305.92</v>
      </c>
      <c r="P93">
        <f t="shared" si="11"/>
        <v>452.9422222222222</v>
      </c>
      <c r="Q93">
        <f t="shared" si="14"/>
        <v>5435.3066666666664</v>
      </c>
      <c r="R93">
        <f t="shared" si="12"/>
        <v>5435.3066666666664</v>
      </c>
      <c r="S93">
        <f t="shared" si="15"/>
        <v>5435.3066666666664</v>
      </c>
      <c r="T93">
        <f t="shared" si="16"/>
        <v>10870.613333333333</v>
      </c>
      <c r="U93">
        <f t="shared" si="17"/>
        <v>8152.9600000000009</v>
      </c>
    </row>
    <row r="94" spans="2:21">
      <c r="B94" t="s">
        <v>345</v>
      </c>
      <c r="C94">
        <v>2025</v>
      </c>
      <c r="D94" t="s">
        <v>834</v>
      </c>
      <c r="E94">
        <v>167817</v>
      </c>
      <c r="F94">
        <v>90545</v>
      </c>
      <c r="G94">
        <v>2016</v>
      </c>
      <c r="H94">
        <v>8</v>
      </c>
      <c r="I94">
        <v>0</v>
      </c>
      <c r="J94" t="s">
        <v>30</v>
      </c>
      <c r="K94">
        <v>3</v>
      </c>
      <c r="L94">
        <f t="shared" si="9"/>
        <v>2019</v>
      </c>
      <c r="M94">
        <f t="shared" si="13"/>
        <v>2019.6666666666667</v>
      </c>
      <c r="N94">
        <v>10785.31</v>
      </c>
      <c r="O94">
        <f t="shared" si="10"/>
        <v>10785.31</v>
      </c>
      <c r="P94">
        <f t="shared" si="11"/>
        <v>299.59194444444444</v>
      </c>
      <c r="Q94">
        <f t="shared" si="14"/>
        <v>3595.1033333333335</v>
      </c>
      <c r="R94">
        <f t="shared" si="12"/>
        <v>3595.1033333333335</v>
      </c>
      <c r="S94">
        <f t="shared" si="15"/>
        <v>3595.1033333333335</v>
      </c>
      <c r="T94">
        <f t="shared" si="16"/>
        <v>7190.2066666666669</v>
      </c>
      <c r="U94">
        <f t="shared" si="17"/>
        <v>5392.6549999999988</v>
      </c>
    </row>
    <row r="95" spans="2:21">
      <c r="B95" t="s">
        <v>344</v>
      </c>
      <c r="C95">
        <v>4521</v>
      </c>
      <c r="D95" t="s">
        <v>838</v>
      </c>
      <c r="E95">
        <v>169028</v>
      </c>
      <c r="G95">
        <v>2016</v>
      </c>
      <c r="H95">
        <v>9</v>
      </c>
      <c r="I95">
        <v>0</v>
      </c>
      <c r="J95" t="s">
        <v>30</v>
      </c>
      <c r="K95">
        <v>10</v>
      </c>
      <c r="L95">
        <f t="shared" si="9"/>
        <v>2026</v>
      </c>
      <c r="M95">
        <f t="shared" si="13"/>
        <v>2026.75</v>
      </c>
      <c r="N95">
        <v>198848.06</v>
      </c>
      <c r="O95">
        <f t="shared" si="10"/>
        <v>198848.06</v>
      </c>
      <c r="P95">
        <f t="shared" si="11"/>
        <v>1657.0671666666667</v>
      </c>
      <c r="Q95">
        <f t="shared" si="14"/>
        <v>19884.806</v>
      </c>
      <c r="R95">
        <f t="shared" si="12"/>
        <v>19884.806</v>
      </c>
      <c r="S95">
        <f t="shared" si="15"/>
        <v>19884.806</v>
      </c>
      <c r="T95">
        <f t="shared" si="16"/>
        <v>39769.612000000001</v>
      </c>
      <c r="U95">
        <f t="shared" si="17"/>
        <v>169020.851</v>
      </c>
    </row>
    <row r="96" spans="2:21">
      <c r="B96" t="s">
        <v>342</v>
      </c>
      <c r="D96" t="s">
        <v>862</v>
      </c>
      <c r="E96">
        <v>185586</v>
      </c>
      <c r="F96">
        <v>185372</v>
      </c>
      <c r="G96">
        <v>2017</v>
      </c>
      <c r="H96">
        <v>7</v>
      </c>
      <c r="I96">
        <v>0</v>
      </c>
      <c r="J96" t="s">
        <v>30</v>
      </c>
      <c r="K96">
        <v>10</v>
      </c>
      <c r="L96">
        <f t="shared" si="9"/>
        <v>2027</v>
      </c>
      <c r="M96">
        <f t="shared" si="13"/>
        <v>2027.5833333333333</v>
      </c>
      <c r="N96">
        <v>1069.3900000000001</v>
      </c>
      <c r="O96">
        <f t="shared" si="10"/>
        <v>1069.3900000000001</v>
      </c>
      <c r="P96">
        <f t="shared" si="11"/>
        <v>8.9115833333333345</v>
      </c>
      <c r="Q96">
        <f t="shared" si="14"/>
        <v>106.93900000000002</v>
      </c>
      <c r="R96">
        <f t="shared" si="12"/>
        <v>106.93900000000002</v>
      </c>
      <c r="S96">
        <f t="shared" si="15"/>
        <v>0</v>
      </c>
      <c r="T96">
        <f t="shared" si="16"/>
        <v>106.93900000000002</v>
      </c>
      <c r="U96">
        <f t="shared" si="17"/>
        <v>1015.9205000000001</v>
      </c>
    </row>
    <row r="97" spans="1:21">
      <c r="B97" t="s">
        <v>342</v>
      </c>
      <c r="C97">
        <v>3659</v>
      </c>
      <c r="D97" t="s">
        <v>863</v>
      </c>
      <c r="E97" t="s">
        <v>897</v>
      </c>
      <c r="F97" t="s">
        <v>372</v>
      </c>
      <c r="G97">
        <v>2017</v>
      </c>
      <c r="H97">
        <v>7</v>
      </c>
      <c r="I97">
        <v>0</v>
      </c>
      <c r="J97" t="s">
        <v>30</v>
      </c>
      <c r="K97">
        <v>10</v>
      </c>
      <c r="L97">
        <f t="shared" si="9"/>
        <v>2027</v>
      </c>
      <c r="M97">
        <f t="shared" si="13"/>
        <v>2027.5833333333333</v>
      </c>
      <c r="N97">
        <f>333655.94+703.67</f>
        <v>334359.61</v>
      </c>
      <c r="O97">
        <f t="shared" si="10"/>
        <v>334359.61</v>
      </c>
      <c r="P97">
        <f t="shared" si="11"/>
        <v>2786.3300833333328</v>
      </c>
      <c r="Q97">
        <f t="shared" si="14"/>
        <v>33435.960999999996</v>
      </c>
      <c r="R97">
        <f t="shared" si="12"/>
        <v>33435.960999999996</v>
      </c>
      <c r="S97">
        <f t="shared" si="15"/>
        <v>0</v>
      </c>
      <c r="T97">
        <f t="shared" si="16"/>
        <v>33435.960999999996</v>
      </c>
      <c r="U97">
        <f t="shared" si="17"/>
        <v>317641.62949999998</v>
      </c>
    </row>
    <row r="98" spans="1:21">
      <c r="B98" t="s">
        <v>342</v>
      </c>
      <c r="C98">
        <v>3658</v>
      </c>
      <c r="D98" t="s">
        <v>863</v>
      </c>
      <c r="E98">
        <v>185371</v>
      </c>
      <c r="F98" t="s">
        <v>372</v>
      </c>
      <c r="G98">
        <v>2017</v>
      </c>
      <c r="H98">
        <v>7</v>
      </c>
      <c r="I98">
        <v>0</v>
      </c>
      <c r="J98" t="s">
        <v>30</v>
      </c>
      <c r="K98">
        <v>10</v>
      </c>
      <c r="L98">
        <f t="shared" si="9"/>
        <v>2027</v>
      </c>
      <c r="M98">
        <f t="shared" si="13"/>
        <v>2027.5833333333333</v>
      </c>
      <c r="N98">
        <v>334566.83</v>
      </c>
      <c r="O98">
        <f t="shared" si="10"/>
        <v>334566.83</v>
      </c>
      <c r="P98">
        <f t="shared" si="11"/>
        <v>2788.0569166666669</v>
      </c>
      <c r="Q98">
        <f t="shared" si="14"/>
        <v>33456.683000000005</v>
      </c>
      <c r="R98">
        <f t="shared" si="12"/>
        <v>33456.683000000005</v>
      </c>
      <c r="S98">
        <f t="shared" si="15"/>
        <v>0</v>
      </c>
      <c r="T98">
        <f t="shared" si="16"/>
        <v>33456.683000000005</v>
      </c>
      <c r="U98">
        <f t="shared" si="17"/>
        <v>317838.48849999998</v>
      </c>
    </row>
    <row r="99" spans="1:21">
      <c r="B99" t="s">
        <v>342</v>
      </c>
      <c r="C99">
        <v>3657</v>
      </c>
      <c r="D99" t="s">
        <v>864</v>
      </c>
      <c r="E99">
        <v>185370</v>
      </c>
      <c r="F99" t="s">
        <v>372</v>
      </c>
      <c r="G99">
        <v>2017</v>
      </c>
      <c r="H99">
        <v>7</v>
      </c>
      <c r="I99">
        <v>0</v>
      </c>
      <c r="J99" t="s">
        <v>30</v>
      </c>
      <c r="K99">
        <v>10</v>
      </c>
      <c r="L99">
        <f t="shared" si="9"/>
        <v>2027</v>
      </c>
      <c r="M99">
        <f t="shared" si="13"/>
        <v>2027.5833333333333</v>
      </c>
      <c r="N99">
        <v>335381.96999999997</v>
      </c>
      <c r="O99">
        <f t="shared" si="10"/>
        <v>335381.96999999997</v>
      </c>
      <c r="P99">
        <f t="shared" si="11"/>
        <v>2794.8497499999999</v>
      </c>
      <c r="Q99">
        <f t="shared" si="14"/>
        <v>33538.197</v>
      </c>
      <c r="R99">
        <f t="shared" si="12"/>
        <v>33538.197</v>
      </c>
      <c r="S99">
        <f t="shared" si="15"/>
        <v>0</v>
      </c>
      <c r="T99">
        <f t="shared" si="16"/>
        <v>33538.197</v>
      </c>
      <c r="U99">
        <f t="shared" si="17"/>
        <v>318612.87150000001</v>
      </c>
    </row>
    <row r="100" spans="1:21">
      <c r="B100" t="s">
        <v>623</v>
      </c>
      <c r="D100" t="s">
        <v>865</v>
      </c>
      <c r="E100" t="s">
        <v>896</v>
      </c>
      <c r="F100" t="s">
        <v>372</v>
      </c>
      <c r="G100">
        <v>2017</v>
      </c>
      <c r="H100">
        <v>7</v>
      </c>
      <c r="I100">
        <v>0</v>
      </c>
      <c r="J100" t="s">
        <v>30</v>
      </c>
      <c r="K100">
        <v>10</v>
      </c>
      <c r="L100">
        <f>G100+K100</f>
        <v>2027</v>
      </c>
      <c r="M100">
        <f t="shared" si="13"/>
        <v>2027.5833333333333</v>
      </c>
      <c r="N100">
        <f>308316.27+1720.1</f>
        <v>310036.37</v>
      </c>
      <c r="O100">
        <f t="shared" si="10"/>
        <v>310036.37</v>
      </c>
      <c r="P100">
        <f t="shared" si="11"/>
        <v>2583.6364166666667</v>
      </c>
      <c r="Q100">
        <f t="shared" si="14"/>
        <v>31003.637000000002</v>
      </c>
      <c r="R100">
        <f t="shared" si="12"/>
        <v>31003.637000000002</v>
      </c>
      <c r="S100">
        <f t="shared" si="15"/>
        <v>0</v>
      </c>
      <c r="T100">
        <f t="shared" si="16"/>
        <v>31003.637000000002</v>
      </c>
      <c r="U100">
        <f t="shared" si="17"/>
        <v>294534.5515</v>
      </c>
    </row>
    <row r="101" spans="1:21">
      <c r="D101" t="s">
        <v>866</v>
      </c>
      <c r="E101">
        <v>185175</v>
      </c>
      <c r="F101">
        <v>184365</v>
      </c>
      <c r="G101">
        <v>2017</v>
      </c>
      <c r="H101">
        <v>7</v>
      </c>
      <c r="I101">
        <v>0</v>
      </c>
      <c r="J101" t="s">
        <v>30</v>
      </c>
      <c r="K101">
        <v>5</v>
      </c>
      <c r="L101">
        <f>G101+K101</f>
        <v>2022</v>
      </c>
      <c r="M101">
        <f t="shared" si="13"/>
        <v>2022.5833333333333</v>
      </c>
      <c r="N101">
        <v>995.61</v>
      </c>
      <c r="O101">
        <f t="shared" si="10"/>
        <v>995.61</v>
      </c>
      <c r="P101">
        <f t="shared" si="11"/>
        <v>16.593500000000002</v>
      </c>
      <c r="Q101">
        <f t="shared" si="14"/>
        <v>199.12200000000001</v>
      </c>
      <c r="R101">
        <f t="shared" si="12"/>
        <v>199.12200000000001</v>
      </c>
      <c r="S101">
        <f t="shared" si="15"/>
        <v>0</v>
      </c>
      <c r="T101">
        <f t="shared" si="16"/>
        <v>199.12200000000001</v>
      </c>
      <c r="U101">
        <f t="shared" si="17"/>
        <v>896.04899999999998</v>
      </c>
    </row>
    <row r="102" spans="1:21">
      <c r="D102" t="s">
        <v>867</v>
      </c>
      <c r="E102">
        <v>185086</v>
      </c>
      <c r="F102">
        <v>184365</v>
      </c>
      <c r="G102">
        <v>2017</v>
      </c>
      <c r="H102">
        <v>7</v>
      </c>
      <c r="I102">
        <v>0</v>
      </c>
      <c r="J102" t="s">
        <v>30</v>
      </c>
      <c r="K102">
        <v>10</v>
      </c>
      <c r="L102">
        <f t="shared" si="9"/>
        <v>2027</v>
      </c>
      <c r="M102">
        <f t="shared" si="13"/>
        <v>2027.5833333333333</v>
      </c>
      <c r="N102">
        <v>7085.38</v>
      </c>
      <c r="O102">
        <f t="shared" si="10"/>
        <v>7085.38</v>
      </c>
      <c r="P102">
        <f t="shared" si="11"/>
        <v>59.044833333333337</v>
      </c>
      <c r="Q102">
        <f t="shared" si="14"/>
        <v>708.53800000000001</v>
      </c>
      <c r="R102">
        <f t="shared" si="12"/>
        <v>708.53800000000001</v>
      </c>
      <c r="S102">
        <f t="shared" si="15"/>
        <v>0</v>
      </c>
      <c r="T102">
        <f t="shared" si="16"/>
        <v>708.53800000000001</v>
      </c>
      <c r="U102">
        <f t="shared" si="17"/>
        <v>6731.1110000000008</v>
      </c>
    </row>
    <row r="103" spans="1:21">
      <c r="D103" t="s">
        <v>868</v>
      </c>
      <c r="E103">
        <v>184563</v>
      </c>
      <c r="F103">
        <v>184365</v>
      </c>
      <c r="G103">
        <v>2017</v>
      </c>
      <c r="H103">
        <v>7</v>
      </c>
      <c r="I103">
        <v>0</v>
      </c>
      <c r="J103" t="s">
        <v>30</v>
      </c>
      <c r="K103">
        <v>5</v>
      </c>
      <c r="L103">
        <f t="shared" si="9"/>
        <v>2022</v>
      </c>
      <c r="M103">
        <f t="shared" si="13"/>
        <v>2022.5833333333333</v>
      </c>
      <c r="N103">
        <v>1913.81</v>
      </c>
      <c r="O103">
        <f t="shared" si="10"/>
        <v>1913.81</v>
      </c>
      <c r="P103">
        <f t="shared" si="11"/>
        <v>31.896833333333333</v>
      </c>
      <c r="Q103">
        <f t="shared" si="14"/>
        <v>382.762</v>
      </c>
      <c r="R103">
        <f t="shared" si="12"/>
        <v>382.762</v>
      </c>
      <c r="S103">
        <f t="shared" si="15"/>
        <v>0</v>
      </c>
      <c r="T103">
        <f t="shared" si="16"/>
        <v>382.762</v>
      </c>
      <c r="U103">
        <f t="shared" si="17"/>
        <v>1722.4290000000001</v>
      </c>
    </row>
    <row r="104" spans="1:21">
      <c r="D104" t="s">
        <v>878</v>
      </c>
      <c r="E104">
        <v>185087</v>
      </c>
      <c r="G104">
        <v>2017</v>
      </c>
      <c r="H104">
        <v>8</v>
      </c>
      <c r="I104">
        <v>0</v>
      </c>
      <c r="J104" t="s">
        <v>30</v>
      </c>
      <c r="K104">
        <v>10</v>
      </c>
      <c r="L104">
        <f t="shared" si="9"/>
        <v>2027</v>
      </c>
      <c r="M104">
        <f t="shared" si="13"/>
        <v>2027.6666666666667</v>
      </c>
      <c r="N104">
        <v>256.86</v>
      </c>
      <c r="O104">
        <f t="shared" si="10"/>
        <v>256.86</v>
      </c>
      <c r="P104">
        <f t="shared" si="11"/>
        <v>2.1404999999999998</v>
      </c>
      <c r="Q104">
        <f t="shared" si="14"/>
        <v>25.686</v>
      </c>
      <c r="R104">
        <f t="shared" si="12"/>
        <v>25.686</v>
      </c>
      <c r="S104">
        <f t="shared" si="15"/>
        <v>0</v>
      </c>
      <c r="T104">
        <f t="shared" si="16"/>
        <v>25.686</v>
      </c>
      <c r="U104">
        <f t="shared" si="17"/>
        <v>244.017</v>
      </c>
    </row>
    <row r="105" spans="1:21">
      <c r="C105">
        <v>3304</v>
      </c>
      <c r="D105" t="s">
        <v>881</v>
      </c>
      <c r="E105">
        <v>184364</v>
      </c>
      <c r="F105" t="s">
        <v>372</v>
      </c>
      <c r="G105">
        <v>2017</v>
      </c>
      <c r="H105">
        <v>7</v>
      </c>
      <c r="I105">
        <v>0</v>
      </c>
      <c r="J105" t="s">
        <v>30</v>
      </c>
      <c r="K105">
        <v>10</v>
      </c>
      <c r="L105">
        <f t="shared" si="9"/>
        <v>2027</v>
      </c>
      <c r="M105">
        <f t="shared" si="13"/>
        <v>2027.5833333333333</v>
      </c>
      <c r="N105">
        <v>143024.03</v>
      </c>
      <c r="O105">
        <f t="shared" si="10"/>
        <v>143024.03</v>
      </c>
      <c r="P105">
        <f t="shared" si="11"/>
        <v>1191.8669166666666</v>
      </c>
      <c r="Q105">
        <f t="shared" si="14"/>
        <v>14302.402999999998</v>
      </c>
      <c r="R105">
        <f t="shared" si="12"/>
        <v>14302.402999999998</v>
      </c>
      <c r="S105">
        <f t="shared" si="15"/>
        <v>0</v>
      </c>
      <c r="T105">
        <f t="shared" si="16"/>
        <v>14302.402999999998</v>
      </c>
      <c r="U105">
        <f t="shared" si="17"/>
        <v>135872.8285</v>
      </c>
    </row>
    <row r="106" spans="1:21">
      <c r="D106" t="s">
        <v>882</v>
      </c>
      <c r="E106">
        <v>184562</v>
      </c>
      <c r="F106">
        <v>184364</v>
      </c>
      <c r="G106">
        <v>2017</v>
      </c>
      <c r="H106">
        <v>7</v>
      </c>
      <c r="I106">
        <v>0</v>
      </c>
      <c r="J106" t="s">
        <v>30</v>
      </c>
      <c r="K106">
        <v>5</v>
      </c>
      <c r="L106">
        <f t="shared" si="9"/>
        <v>2022</v>
      </c>
      <c r="M106">
        <f t="shared" si="13"/>
        <v>2022.5833333333333</v>
      </c>
      <c r="N106">
        <v>346.44</v>
      </c>
      <c r="O106">
        <f t="shared" si="10"/>
        <v>346.44</v>
      </c>
      <c r="P106">
        <f t="shared" si="11"/>
        <v>5.774</v>
      </c>
      <c r="Q106">
        <f t="shared" si="14"/>
        <v>69.287999999999997</v>
      </c>
      <c r="R106">
        <f t="shared" si="12"/>
        <v>69.287999999999997</v>
      </c>
      <c r="S106">
        <f t="shared" si="15"/>
        <v>0</v>
      </c>
      <c r="T106">
        <f t="shared" si="16"/>
        <v>69.287999999999997</v>
      </c>
      <c r="U106">
        <f t="shared" si="17"/>
        <v>311.79599999999999</v>
      </c>
    </row>
    <row r="107" spans="1:21">
      <c r="B107" t="s">
        <v>344</v>
      </c>
      <c r="C107">
        <v>9561</v>
      </c>
      <c r="D107" t="s">
        <v>883</v>
      </c>
      <c r="E107">
        <v>181935</v>
      </c>
      <c r="F107" t="s">
        <v>372</v>
      </c>
      <c r="G107">
        <v>2017</v>
      </c>
      <c r="H107">
        <v>5</v>
      </c>
      <c r="I107">
        <v>0</v>
      </c>
      <c r="J107" t="s">
        <v>30</v>
      </c>
      <c r="K107">
        <v>10</v>
      </c>
      <c r="L107">
        <f t="shared" si="9"/>
        <v>2027</v>
      </c>
      <c r="M107">
        <f t="shared" si="13"/>
        <v>2027.4166666666667</v>
      </c>
      <c r="N107">
        <v>60070.239999999998</v>
      </c>
      <c r="O107">
        <f t="shared" si="10"/>
        <v>60070.239999999998</v>
      </c>
      <c r="P107">
        <f t="shared" si="11"/>
        <v>500.58533333333327</v>
      </c>
      <c r="Q107">
        <f t="shared" si="14"/>
        <v>6007.0239999999994</v>
      </c>
      <c r="R107">
        <f t="shared" si="12"/>
        <v>6007.0239999999994</v>
      </c>
      <c r="S107">
        <f t="shared" si="15"/>
        <v>0</v>
      </c>
      <c r="T107">
        <f t="shared" si="16"/>
        <v>6007.0239999999994</v>
      </c>
      <c r="U107">
        <f t="shared" si="17"/>
        <v>57066.728000000003</v>
      </c>
    </row>
    <row r="108" spans="1:21">
      <c r="B108" t="s">
        <v>342</v>
      </c>
      <c r="C108">
        <v>3668</v>
      </c>
      <c r="D108" t="s">
        <v>863</v>
      </c>
      <c r="E108">
        <v>189848</v>
      </c>
      <c r="G108">
        <v>2017</v>
      </c>
      <c r="H108">
        <v>12</v>
      </c>
      <c r="I108">
        <v>0</v>
      </c>
      <c r="J108" t="s">
        <v>30</v>
      </c>
      <c r="K108">
        <v>10</v>
      </c>
      <c r="L108">
        <f t="shared" si="9"/>
        <v>2027</v>
      </c>
      <c r="M108">
        <f t="shared" si="13"/>
        <v>2028</v>
      </c>
      <c r="N108">
        <v>344877.62</v>
      </c>
      <c r="O108">
        <f t="shared" si="10"/>
        <v>344877.62</v>
      </c>
      <c r="P108">
        <f t="shared" si="11"/>
        <v>2873.9801666666667</v>
      </c>
      <c r="Q108">
        <f t="shared" si="14"/>
        <v>34487.762000000002</v>
      </c>
      <c r="R108">
        <f t="shared" si="12"/>
        <v>34487.762000000002</v>
      </c>
      <c r="S108">
        <f t="shared" si="15"/>
        <v>0</v>
      </c>
      <c r="T108">
        <f t="shared" si="16"/>
        <v>34487.762000000002</v>
      </c>
      <c r="U108">
        <f t="shared" si="17"/>
        <v>327633.739</v>
      </c>
    </row>
    <row r="109" spans="1:21">
      <c r="B109" t="s">
        <v>342</v>
      </c>
      <c r="C109">
        <v>3667</v>
      </c>
      <c r="D109" t="s">
        <v>863</v>
      </c>
      <c r="E109">
        <v>189847</v>
      </c>
      <c r="G109">
        <v>2017</v>
      </c>
      <c r="H109">
        <v>12</v>
      </c>
      <c r="I109">
        <v>0</v>
      </c>
      <c r="J109" t="s">
        <v>30</v>
      </c>
      <c r="K109">
        <v>10</v>
      </c>
      <c r="L109">
        <f t="shared" si="9"/>
        <v>2027</v>
      </c>
      <c r="M109">
        <f t="shared" si="13"/>
        <v>2028</v>
      </c>
      <c r="N109">
        <v>345348.48</v>
      </c>
      <c r="O109">
        <f t="shared" si="10"/>
        <v>345348.48</v>
      </c>
      <c r="P109">
        <f t="shared" si="11"/>
        <v>2877.904</v>
      </c>
      <c r="Q109">
        <f t="shared" si="14"/>
        <v>34534.847999999998</v>
      </c>
      <c r="R109">
        <f t="shared" si="12"/>
        <v>34534.847999999998</v>
      </c>
      <c r="S109">
        <f t="shared" si="15"/>
        <v>0</v>
      </c>
      <c r="T109">
        <f t="shared" si="16"/>
        <v>34534.847999999998</v>
      </c>
      <c r="U109">
        <f t="shared" si="17"/>
        <v>328081.05599999998</v>
      </c>
    </row>
    <row r="110" spans="1:21">
      <c r="B110" t="s">
        <v>886</v>
      </c>
      <c r="C110">
        <v>1080</v>
      </c>
      <c r="D110" t="s">
        <v>887</v>
      </c>
      <c r="E110">
        <v>189845</v>
      </c>
      <c r="G110">
        <v>2017</v>
      </c>
      <c r="H110">
        <v>11</v>
      </c>
      <c r="I110">
        <v>0</v>
      </c>
      <c r="J110" t="s">
        <v>30</v>
      </c>
      <c r="K110">
        <v>10</v>
      </c>
      <c r="L110">
        <f t="shared" si="9"/>
        <v>2027</v>
      </c>
      <c r="M110">
        <f t="shared" si="13"/>
        <v>2027.9166666666667</v>
      </c>
      <c r="N110">
        <v>230038.72</v>
      </c>
      <c r="O110">
        <f t="shared" si="10"/>
        <v>230038.72</v>
      </c>
      <c r="P110">
        <f t="shared" si="11"/>
        <v>1916.9893333333332</v>
      </c>
      <c r="Q110">
        <f t="shared" si="14"/>
        <v>23003.871999999999</v>
      </c>
      <c r="R110">
        <f t="shared" si="12"/>
        <v>23003.871999999999</v>
      </c>
      <c r="S110">
        <f t="shared" si="15"/>
        <v>0</v>
      </c>
      <c r="T110">
        <f t="shared" si="16"/>
        <v>23003.871999999999</v>
      </c>
      <c r="U110">
        <f t="shared" si="17"/>
        <v>218536.78399999999</v>
      </c>
    </row>
    <row r="111" spans="1:21">
      <c r="B111" t="s">
        <v>342</v>
      </c>
      <c r="C111">
        <v>3661</v>
      </c>
      <c r="D111" t="s">
        <v>863</v>
      </c>
      <c r="E111">
        <v>189843</v>
      </c>
      <c r="G111">
        <v>2017</v>
      </c>
      <c r="H111">
        <v>11</v>
      </c>
      <c r="I111">
        <v>0</v>
      </c>
      <c r="J111" t="s">
        <v>30</v>
      </c>
      <c r="K111">
        <v>10</v>
      </c>
      <c r="L111">
        <f t="shared" si="9"/>
        <v>2027</v>
      </c>
      <c r="M111">
        <f t="shared" si="13"/>
        <v>2027.9166666666667</v>
      </c>
      <c r="N111">
        <v>336216.89</v>
      </c>
      <c r="O111">
        <f t="shared" si="10"/>
        <v>336216.89</v>
      </c>
      <c r="P111">
        <f t="shared" si="11"/>
        <v>2801.8074166666665</v>
      </c>
      <c r="Q111">
        <f t="shared" si="14"/>
        <v>33621.688999999998</v>
      </c>
      <c r="R111">
        <f t="shared" si="12"/>
        <v>33621.688999999998</v>
      </c>
      <c r="S111">
        <f t="shared" si="15"/>
        <v>0</v>
      </c>
      <c r="T111">
        <f t="shared" si="16"/>
        <v>33621.688999999998</v>
      </c>
      <c r="U111">
        <f t="shared" si="17"/>
        <v>319406.04550000001</v>
      </c>
    </row>
    <row r="112" spans="1:21">
      <c r="B112" t="s">
        <v>623</v>
      </c>
      <c r="C112">
        <v>2049</v>
      </c>
      <c r="D112" t="s">
        <v>865</v>
      </c>
      <c r="E112">
        <v>189842</v>
      </c>
      <c r="G112">
        <v>2017</v>
      </c>
      <c r="H112">
        <v>11</v>
      </c>
      <c r="I112">
        <v>0</v>
      </c>
      <c r="J112" t="s">
        <v>30</v>
      </c>
      <c r="K112">
        <v>10</v>
      </c>
      <c r="L112">
        <f t="shared" si="9"/>
        <v>2027</v>
      </c>
      <c r="M112">
        <f t="shared" si="13"/>
        <v>2027.9166666666667</v>
      </c>
      <c r="N112">
        <v>318612.62</v>
      </c>
      <c r="O112">
        <f t="shared" si="10"/>
        <v>318612.62</v>
      </c>
      <c r="P112">
        <f t="shared" si="11"/>
        <v>2655.1051666666667</v>
      </c>
      <c r="Q112">
        <f t="shared" si="14"/>
        <v>31861.262000000002</v>
      </c>
      <c r="R112">
        <f t="shared" si="12"/>
        <v>31861.262000000002</v>
      </c>
      <c r="S112">
        <f t="shared" si="15"/>
        <v>0</v>
      </c>
      <c r="T112">
        <f t="shared" si="16"/>
        <v>31861.262000000002</v>
      </c>
      <c r="U112">
        <f t="shared" si="17"/>
        <v>302681.989</v>
      </c>
    </row>
    <row r="113" spans="1:21">
      <c r="B113" t="s">
        <v>342</v>
      </c>
      <c r="C113">
        <v>3660</v>
      </c>
      <c r="D113" t="s">
        <v>863</v>
      </c>
      <c r="E113" t="s">
        <v>891</v>
      </c>
      <c r="G113">
        <v>2017</v>
      </c>
      <c r="H113">
        <v>11</v>
      </c>
      <c r="I113">
        <v>0</v>
      </c>
      <c r="J113" t="s">
        <v>30</v>
      </c>
      <c r="K113">
        <v>10</v>
      </c>
      <c r="L113">
        <f t="shared" si="9"/>
        <v>2027</v>
      </c>
      <c r="M113">
        <f t="shared" si="13"/>
        <v>2027.9166666666667</v>
      </c>
      <c r="N113">
        <v>336142.23</v>
      </c>
      <c r="O113">
        <f t="shared" si="10"/>
        <v>336142.23</v>
      </c>
      <c r="P113">
        <f t="shared" si="11"/>
        <v>2801.18525</v>
      </c>
      <c r="Q113">
        <f t="shared" si="14"/>
        <v>33614.222999999998</v>
      </c>
      <c r="R113">
        <f t="shared" si="12"/>
        <v>33614.222999999998</v>
      </c>
      <c r="S113">
        <f t="shared" si="15"/>
        <v>0</v>
      </c>
      <c r="T113">
        <f t="shared" si="16"/>
        <v>33614.222999999998</v>
      </c>
      <c r="U113">
        <f t="shared" si="17"/>
        <v>319335.11849999998</v>
      </c>
    </row>
    <row r="114" spans="1:21">
      <c r="B114" t="s">
        <v>886</v>
      </c>
      <c r="C114">
        <v>1081</v>
      </c>
      <c r="D114" t="s">
        <v>887</v>
      </c>
      <c r="E114" t="s">
        <v>895</v>
      </c>
      <c r="G114">
        <v>2017</v>
      </c>
      <c r="H114">
        <v>10</v>
      </c>
      <c r="I114">
        <v>0</v>
      </c>
      <c r="J114" t="s">
        <v>30</v>
      </c>
      <c r="K114">
        <v>10</v>
      </c>
      <c r="L114">
        <f t="shared" si="9"/>
        <v>2027</v>
      </c>
      <c r="M114">
        <f t="shared" si="13"/>
        <v>2027.8333333333333</v>
      </c>
      <c r="N114">
        <v>227561.93</v>
      </c>
      <c r="O114">
        <f t="shared" si="10"/>
        <v>227561.93</v>
      </c>
      <c r="P114">
        <f t="shared" si="11"/>
        <v>1896.3494166666667</v>
      </c>
      <c r="Q114">
        <f t="shared" si="14"/>
        <v>22756.192999999999</v>
      </c>
      <c r="R114">
        <f t="shared" si="12"/>
        <v>22756.192999999999</v>
      </c>
      <c r="S114">
        <f t="shared" si="15"/>
        <v>0</v>
      </c>
      <c r="T114">
        <f t="shared" si="16"/>
        <v>22756.192999999999</v>
      </c>
      <c r="U114">
        <f t="shared" si="17"/>
        <v>216183.83350000001</v>
      </c>
    </row>
    <row r="115" spans="1:21">
      <c r="B115" t="s">
        <v>886</v>
      </c>
      <c r="C115">
        <v>1081</v>
      </c>
      <c r="D115" t="s">
        <v>893</v>
      </c>
      <c r="E115">
        <v>189409</v>
      </c>
      <c r="F115">
        <v>187603</v>
      </c>
      <c r="G115">
        <v>2017</v>
      </c>
      <c r="H115">
        <v>10</v>
      </c>
      <c r="I115">
        <v>0</v>
      </c>
      <c r="J115" t="s">
        <v>30</v>
      </c>
      <c r="K115">
        <v>5</v>
      </c>
      <c r="L115">
        <f t="shared" si="9"/>
        <v>2022</v>
      </c>
      <c r="M115">
        <f t="shared" si="13"/>
        <v>2022.8333333333333</v>
      </c>
      <c r="N115">
        <v>470.89</v>
      </c>
      <c r="O115">
        <f t="shared" si="10"/>
        <v>470.89</v>
      </c>
      <c r="P115">
        <f t="shared" si="11"/>
        <v>7.8481666666666667</v>
      </c>
      <c r="Q115">
        <f t="shared" si="14"/>
        <v>94.177999999999997</v>
      </c>
      <c r="R115">
        <f t="shared" si="12"/>
        <v>94.177999999999997</v>
      </c>
      <c r="S115">
        <f t="shared" si="15"/>
        <v>0</v>
      </c>
      <c r="T115">
        <f t="shared" si="16"/>
        <v>94.177999999999997</v>
      </c>
      <c r="U115">
        <f t="shared" si="17"/>
        <v>423.80099999999999</v>
      </c>
    </row>
    <row r="116" spans="1:21">
      <c r="B116" t="s">
        <v>886</v>
      </c>
      <c r="C116">
        <v>1081</v>
      </c>
      <c r="D116" t="s">
        <v>894</v>
      </c>
      <c r="E116">
        <v>188505</v>
      </c>
      <c r="F116">
        <v>187603</v>
      </c>
      <c r="G116">
        <v>2017</v>
      </c>
      <c r="H116">
        <v>10</v>
      </c>
      <c r="I116">
        <v>0</v>
      </c>
      <c r="J116" t="s">
        <v>30</v>
      </c>
      <c r="K116">
        <v>5</v>
      </c>
      <c r="L116">
        <f t="shared" si="9"/>
        <v>2022</v>
      </c>
      <c r="M116">
        <f t="shared" si="13"/>
        <v>2022.8333333333333</v>
      </c>
      <c r="N116">
        <v>995.61</v>
      </c>
      <c r="O116">
        <f t="shared" si="10"/>
        <v>995.61</v>
      </c>
      <c r="P116">
        <f t="shared" si="11"/>
        <v>16.593500000000002</v>
      </c>
      <c r="Q116">
        <f t="shared" si="14"/>
        <v>199.12200000000001</v>
      </c>
      <c r="R116">
        <f t="shared" si="12"/>
        <v>199.12200000000001</v>
      </c>
      <c r="S116">
        <f t="shared" si="15"/>
        <v>0</v>
      </c>
      <c r="T116">
        <f t="shared" si="16"/>
        <v>199.12200000000001</v>
      </c>
      <c r="U116">
        <f t="shared" si="17"/>
        <v>896.04899999999998</v>
      </c>
    </row>
    <row r="117" spans="1:21">
      <c r="B117" t="s">
        <v>342</v>
      </c>
      <c r="D117" t="s">
        <v>919</v>
      </c>
      <c r="E117">
        <v>191849</v>
      </c>
      <c r="F117">
        <v>189847</v>
      </c>
      <c r="G117">
        <v>2018</v>
      </c>
      <c r="H117">
        <v>1</v>
      </c>
      <c r="I117">
        <v>0</v>
      </c>
      <c r="J117" t="s">
        <v>30</v>
      </c>
      <c r="K117">
        <v>10</v>
      </c>
      <c r="L117">
        <f t="shared" si="9"/>
        <v>2028</v>
      </c>
      <c r="M117">
        <f t="shared" si="13"/>
        <v>2028.0833333333333</v>
      </c>
      <c r="N117">
        <v>1069.3900000000001</v>
      </c>
      <c r="O117">
        <f t="shared" si="10"/>
        <v>1069.3900000000001</v>
      </c>
      <c r="P117">
        <f t="shared" si="11"/>
        <v>8.9115833333333345</v>
      </c>
      <c r="Q117">
        <f t="shared" si="14"/>
        <v>106.93900000000002</v>
      </c>
      <c r="R117">
        <f t="shared" si="12"/>
        <v>106.93900000000002</v>
      </c>
      <c r="S117">
        <f t="shared" si="15"/>
        <v>0</v>
      </c>
      <c r="T117">
        <f t="shared" si="16"/>
        <v>106.93900000000002</v>
      </c>
      <c r="U117">
        <f t="shared" si="17"/>
        <v>1015.9205000000001</v>
      </c>
    </row>
    <row r="118" spans="1:21">
      <c r="B118" t="s">
        <v>342</v>
      </c>
      <c r="D118" t="s">
        <v>920</v>
      </c>
      <c r="E118">
        <v>191850</v>
      </c>
      <c r="F118">
        <v>189848</v>
      </c>
      <c r="G118">
        <v>2018</v>
      </c>
      <c r="H118">
        <v>1</v>
      </c>
      <c r="I118">
        <v>0</v>
      </c>
      <c r="J118" t="s">
        <v>30</v>
      </c>
      <c r="K118">
        <v>10</v>
      </c>
      <c r="L118">
        <f t="shared" si="9"/>
        <v>2028</v>
      </c>
      <c r="M118">
        <f t="shared" si="13"/>
        <v>2028.0833333333333</v>
      </c>
      <c r="N118">
        <v>1069.3900000000001</v>
      </c>
      <c r="O118">
        <f t="shared" si="10"/>
        <v>1069.3900000000001</v>
      </c>
      <c r="P118">
        <f t="shared" si="11"/>
        <v>8.9115833333333345</v>
      </c>
      <c r="Q118">
        <f>P118*12</f>
        <v>106.93900000000002</v>
      </c>
      <c r="R118">
        <f t="shared" si="12"/>
        <v>106.93900000000002</v>
      </c>
      <c r="S118">
        <f t="shared" si="15"/>
        <v>0</v>
      </c>
      <c r="T118">
        <f t="shared" si="16"/>
        <v>106.93900000000002</v>
      </c>
      <c r="U118">
        <f t="shared" si="17"/>
        <v>1015.9205000000001</v>
      </c>
    </row>
    <row r="120" spans="1:21">
      <c r="L120" t="s">
        <v>429</v>
      </c>
      <c r="N120">
        <f t="shared" ref="N120:U120" si="18">SUM(N15:N119)</f>
        <v>15171862.360737707</v>
      </c>
      <c r="O120">
        <f t="shared" si="18"/>
        <v>13211959.728737706</v>
      </c>
      <c r="P120">
        <f t="shared" si="18"/>
        <v>142112.13835435853</v>
      </c>
      <c r="Q120">
        <f t="shared" si="18"/>
        <v>1705345.6602523029</v>
      </c>
      <c r="R120">
        <f t="shared" si="18"/>
        <v>1117533.2243942854</v>
      </c>
      <c r="S120">
        <f t="shared" si="18"/>
        <v>7060573.9412062783</v>
      </c>
      <c r="T120">
        <f t="shared" si="18"/>
        <v>6218204.5336005623</v>
      </c>
      <c r="U120">
        <f t="shared" si="18"/>
        <v>8063240.7911342829</v>
      </c>
    </row>
    <row r="122" spans="1:21">
      <c r="B122" t="s">
        <v>779</v>
      </c>
    </row>
    <row r="123" spans="1:21">
      <c r="A123" t="s">
        <v>776</v>
      </c>
      <c r="B123" t="s">
        <v>342</v>
      </c>
      <c r="C123">
        <v>3633</v>
      </c>
      <c r="D123" t="s">
        <v>778</v>
      </c>
      <c r="E123" t="s">
        <v>641</v>
      </c>
      <c r="G123">
        <v>2012</v>
      </c>
      <c r="H123">
        <v>9</v>
      </c>
      <c r="I123">
        <v>0.2</v>
      </c>
      <c r="J123" t="s">
        <v>30</v>
      </c>
      <c r="K123">
        <v>7</v>
      </c>
      <c r="L123">
        <f>G123+K123</f>
        <v>2019</v>
      </c>
      <c r="M123">
        <f>+L123+(H123/12)</f>
        <v>2019.75</v>
      </c>
      <c r="N123">
        <f>314012-63</f>
        <v>313949</v>
      </c>
      <c r="O123">
        <f>N123-N123*I123</f>
        <v>251159.2</v>
      </c>
      <c r="P123">
        <f>O123/K123/12</f>
        <v>2989.9904761904763</v>
      </c>
      <c r="Q123">
        <f>P123*12</f>
        <v>35879.885714285716</v>
      </c>
      <c r="R123">
        <f>+IF(M123&lt;=$O$6,0,IF(L123&gt;$O$5,Q123,(P123*G123)))</f>
        <v>35879.885714285716</v>
      </c>
      <c r="S123">
        <f>+IF(R123=0,N123,IF($O$5-G123&lt;1,0,(($O$5-G123)*Q123)))</f>
        <v>179399.42857142858</v>
      </c>
      <c r="T123">
        <f>+IF(R123=0,S123,S123+R123)-(N123-O123)</f>
        <v>152489.51428571431</v>
      </c>
      <c r="U123">
        <f>+IF(R123=0,0,((N123-S123)+(N123-T123))/2)</f>
        <v>148004.52857142856</v>
      </c>
    </row>
    <row r="124" spans="1:21">
      <c r="B124" t="s">
        <v>342</v>
      </c>
      <c r="C124">
        <v>3643</v>
      </c>
      <c r="D124" t="s">
        <v>766</v>
      </c>
      <c r="E124" t="s">
        <v>787</v>
      </c>
      <c r="G124">
        <v>2015</v>
      </c>
      <c r="H124">
        <v>5</v>
      </c>
      <c r="I124">
        <v>0.2</v>
      </c>
      <c r="J124" t="s">
        <v>30</v>
      </c>
      <c r="K124">
        <v>7</v>
      </c>
      <c r="L124">
        <f>G124+K124</f>
        <v>2022</v>
      </c>
      <c r="M124">
        <f>+L124+(H124/12)</f>
        <v>2022.4166666666667</v>
      </c>
      <c r="N124">
        <f>339958.46+5973.14</f>
        <v>345931.60000000003</v>
      </c>
      <c r="O124">
        <f>N124-N124*I124</f>
        <v>276745.28000000003</v>
      </c>
      <c r="P124">
        <f>O124/K124/12</f>
        <v>3294.5866666666666</v>
      </c>
      <c r="Q124">
        <f>P124*12</f>
        <v>39535.040000000001</v>
      </c>
      <c r="R124">
        <f>+IF(M124&lt;=$O$6,0,IF(L124&gt;$O$5,Q124,(P124*G124)))</f>
        <v>39535.040000000001</v>
      </c>
      <c r="S124">
        <f>+IF(R124=0,N124,IF($O$5-G124&lt;1,0,(($O$5-G124)*Q124)))</f>
        <v>79070.080000000002</v>
      </c>
      <c r="T124">
        <f>+IF(R124=0,S124,S124+R124)-(N124-O124)</f>
        <v>49418.799999999988</v>
      </c>
      <c r="U124">
        <f>+IF(R124=0,0,((N124-S124)+(N124-T124))/2)</f>
        <v>281687.16000000003</v>
      </c>
    </row>
    <row r="125" spans="1:21">
      <c r="A125" t="s">
        <v>776</v>
      </c>
      <c r="B125" t="s">
        <v>623</v>
      </c>
      <c r="C125">
        <v>2048</v>
      </c>
      <c r="D125" t="s">
        <v>865</v>
      </c>
      <c r="E125" t="s">
        <v>892</v>
      </c>
      <c r="G125">
        <v>2017</v>
      </c>
      <c r="H125">
        <v>9</v>
      </c>
      <c r="I125">
        <v>0</v>
      </c>
      <c r="J125" t="s">
        <v>30</v>
      </c>
      <c r="K125">
        <v>10</v>
      </c>
      <c r="L125">
        <f>G125+K125</f>
        <v>2027</v>
      </c>
      <c r="M125">
        <f>+L125+(H125/12)</f>
        <v>2027.75</v>
      </c>
      <c r="N125">
        <v>317746.40000000002</v>
      </c>
      <c r="O125">
        <f>N125-N125*I125</f>
        <v>317746.40000000002</v>
      </c>
      <c r="P125">
        <f>O125/K125/12</f>
        <v>2647.8866666666668</v>
      </c>
      <c r="Q125">
        <f>P125*12</f>
        <v>31774.639999999999</v>
      </c>
      <c r="R125">
        <f>+IF(M125&lt;=$O$6,0,IF(L125&gt;$O$5,Q125,(P125*G125)))</f>
        <v>31774.639999999999</v>
      </c>
      <c r="S125">
        <f>+IF(R125=0,N125,IF($O$5-G125&lt;1,0,(($O$5-G125)*Q125)))</f>
        <v>0</v>
      </c>
      <c r="T125">
        <f>+IF(R125=0,S125,S125+R125)-(N125-O125)</f>
        <v>31774.639999999999</v>
      </c>
      <c r="U125">
        <f>+IF(R125=0,0,((N125-S125)+(N125-T125))/2)</f>
        <v>301859.08</v>
      </c>
    </row>
    <row r="127" spans="1:21">
      <c r="L127" t="s">
        <v>780</v>
      </c>
      <c r="N127">
        <f t="shared" ref="N127:U127" si="19">SUM(N123:N126)</f>
        <v>977627.00000000012</v>
      </c>
      <c r="O127">
        <f t="shared" si="19"/>
        <v>845650.88</v>
      </c>
      <c r="P127">
        <f t="shared" si="19"/>
        <v>8932.4638095238097</v>
      </c>
      <c r="Q127">
        <f t="shared" si="19"/>
        <v>107189.56571428572</v>
      </c>
      <c r="R127">
        <f t="shared" si="19"/>
        <v>107189.56571428572</v>
      </c>
      <c r="S127">
        <f t="shared" si="19"/>
        <v>258469.5085714286</v>
      </c>
      <c r="T127">
        <f t="shared" si="19"/>
        <v>233682.95428571431</v>
      </c>
      <c r="U127">
        <f t="shared" si="19"/>
        <v>731550.76857142861</v>
      </c>
    </row>
    <row r="129" spans="1:24">
      <c r="B129" t="s">
        <v>431</v>
      </c>
    </row>
    <row r="131" spans="1:24">
      <c r="C131">
        <v>11085</v>
      </c>
      <c r="D131" t="s">
        <v>33</v>
      </c>
      <c r="G131">
        <v>2004</v>
      </c>
      <c r="H131">
        <v>12</v>
      </c>
      <c r="I131">
        <v>0.2</v>
      </c>
      <c r="J131" t="s">
        <v>30</v>
      </c>
      <c r="K131">
        <v>5</v>
      </c>
      <c r="L131">
        <f t="shared" ref="L131:L174" si="20">G131+K131</f>
        <v>2009</v>
      </c>
      <c r="M131">
        <f>+L131+(H131/12)</f>
        <v>2010</v>
      </c>
      <c r="N131">
        <f>154600.26*6/36</f>
        <v>25766.710000000003</v>
      </c>
      <c r="O131">
        <f t="shared" ref="O131:O174" si="21">N131-N131*I131</f>
        <v>20613.368000000002</v>
      </c>
      <c r="P131">
        <f t="shared" ref="P131:P174" si="22">O131/K131/12</f>
        <v>343.55613333333332</v>
      </c>
      <c r="Q131">
        <f t="shared" ref="Q131:Q174" si="23">P131*12</f>
        <v>4122.6736000000001</v>
      </c>
      <c r="R131">
        <f t="shared" ref="R131:R174" si="24">+IF(M131&lt;=$O$6,0,IF(L131&gt;$O$5,Q131,(P131*G131)))</f>
        <v>0</v>
      </c>
      <c r="S131">
        <f t="shared" ref="S131:S174" si="25">+IF(R131=0,N131,IF($O$5-G131&lt;1,0,(($O$5-G131)*Q131)))</f>
        <v>25766.710000000003</v>
      </c>
      <c r="T131">
        <f t="shared" ref="T131:T174" si="26">+IF(R131=0,S131,S131+R131)-(N131-O131)</f>
        <v>20613.368000000002</v>
      </c>
      <c r="U131">
        <f t="shared" ref="U131:U174" si="27">+IF(R131=0,0,((N131-S131)+(N131-T131))/2)</f>
        <v>0</v>
      </c>
      <c r="X131" t="s">
        <v>428</v>
      </c>
    </row>
    <row r="132" spans="1:24">
      <c r="A132" t="s">
        <v>47</v>
      </c>
      <c r="B132" t="s">
        <v>343</v>
      </c>
      <c r="C132">
        <v>4042</v>
      </c>
      <c r="D132" t="s">
        <v>48</v>
      </c>
      <c r="G132">
        <v>2005</v>
      </c>
      <c r="H132">
        <v>9</v>
      </c>
      <c r="I132">
        <v>0.2</v>
      </c>
      <c r="J132" t="s">
        <v>30</v>
      </c>
      <c r="K132">
        <v>7</v>
      </c>
      <c r="L132">
        <f t="shared" si="20"/>
        <v>2012</v>
      </c>
      <c r="M132">
        <f t="shared" ref="M132:M174" si="28">+L132+(H132/12)</f>
        <v>2012.75</v>
      </c>
      <c r="N132">
        <v>146156.70000000001</v>
      </c>
      <c r="O132">
        <f t="shared" si="21"/>
        <v>116925.36000000002</v>
      </c>
      <c r="P132">
        <f t="shared" si="22"/>
        <v>1391.9685714285715</v>
      </c>
      <c r="Q132">
        <f t="shared" si="23"/>
        <v>16703.622857142858</v>
      </c>
      <c r="R132">
        <f t="shared" si="24"/>
        <v>0</v>
      </c>
      <c r="S132">
        <f t="shared" si="25"/>
        <v>146156.70000000001</v>
      </c>
      <c r="T132">
        <f t="shared" si="26"/>
        <v>116925.36000000002</v>
      </c>
      <c r="U132">
        <f t="shared" si="27"/>
        <v>0</v>
      </c>
      <c r="X132" t="s">
        <v>428</v>
      </c>
    </row>
    <row r="133" spans="1:24">
      <c r="A133" t="s">
        <v>47</v>
      </c>
      <c r="B133" t="s">
        <v>343</v>
      </c>
      <c r="C133">
        <v>4051</v>
      </c>
      <c r="D133" t="s">
        <v>209</v>
      </c>
      <c r="G133">
        <v>2006</v>
      </c>
      <c r="H133">
        <v>5</v>
      </c>
      <c r="I133">
        <v>0.2</v>
      </c>
      <c r="J133" t="s">
        <v>30</v>
      </c>
      <c r="K133">
        <v>7</v>
      </c>
      <c r="L133">
        <f t="shared" si="20"/>
        <v>2013</v>
      </c>
      <c r="M133">
        <f t="shared" si="28"/>
        <v>2013.4166666666667</v>
      </c>
      <c r="N133">
        <f>145020.18+3916.8</f>
        <v>148936.97999999998</v>
      </c>
      <c r="O133">
        <f t="shared" si="21"/>
        <v>119149.58399999999</v>
      </c>
      <c r="P133">
        <f t="shared" si="22"/>
        <v>1418.4474285714284</v>
      </c>
      <c r="Q133">
        <f t="shared" si="23"/>
        <v>17021.36914285714</v>
      </c>
      <c r="R133">
        <f t="shared" si="24"/>
        <v>0</v>
      </c>
      <c r="S133">
        <f t="shared" si="25"/>
        <v>148936.97999999998</v>
      </c>
      <c r="T133">
        <f t="shared" si="26"/>
        <v>119149.58399999999</v>
      </c>
      <c r="U133">
        <f t="shared" si="27"/>
        <v>0</v>
      </c>
      <c r="X133" t="s">
        <v>428</v>
      </c>
    </row>
    <row r="134" spans="1:24">
      <c r="A134" t="s">
        <v>47</v>
      </c>
      <c r="B134" t="s">
        <v>343</v>
      </c>
      <c r="C134">
        <v>4052</v>
      </c>
      <c r="D134" t="s">
        <v>212</v>
      </c>
      <c r="G134">
        <v>2006</v>
      </c>
      <c r="H134">
        <v>12</v>
      </c>
      <c r="I134">
        <v>0.2</v>
      </c>
      <c r="J134" t="s">
        <v>30</v>
      </c>
      <c r="K134">
        <v>7</v>
      </c>
      <c r="L134">
        <f t="shared" si="20"/>
        <v>2013</v>
      </c>
      <c r="M134">
        <f t="shared" si="28"/>
        <v>2014</v>
      </c>
      <c r="N134">
        <v>155452.04</v>
      </c>
      <c r="O134">
        <f t="shared" si="21"/>
        <v>124361.63200000001</v>
      </c>
      <c r="P134">
        <f t="shared" si="22"/>
        <v>1480.4956190476194</v>
      </c>
      <c r="Q134">
        <f t="shared" si="23"/>
        <v>17765.947428571431</v>
      </c>
      <c r="R134">
        <f t="shared" si="24"/>
        <v>0</v>
      </c>
      <c r="S134">
        <f t="shared" si="25"/>
        <v>155452.04</v>
      </c>
      <c r="T134">
        <f t="shared" si="26"/>
        <v>124361.63200000001</v>
      </c>
      <c r="U134">
        <f t="shared" si="27"/>
        <v>0</v>
      </c>
      <c r="X134" t="s">
        <v>428</v>
      </c>
    </row>
    <row r="135" spans="1:24">
      <c r="D135" t="s">
        <v>446</v>
      </c>
      <c r="E135" t="s">
        <v>445</v>
      </c>
      <c r="G135">
        <v>2006</v>
      </c>
      <c r="H135">
        <v>12</v>
      </c>
      <c r="I135">
        <v>0</v>
      </c>
      <c r="J135" t="s">
        <v>30</v>
      </c>
      <c r="K135">
        <v>5</v>
      </c>
      <c r="L135">
        <f t="shared" si="20"/>
        <v>2011</v>
      </c>
      <c r="M135">
        <f t="shared" si="28"/>
        <v>2012</v>
      </c>
      <c r="N135">
        <f>(9918.49+20060.36+141742.3)*6/36</f>
        <v>28620.191666666666</v>
      </c>
      <c r="O135">
        <f t="shared" si="21"/>
        <v>28620.191666666666</v>
      </c>
      <c r="P135">
        <f t="shared" si="22"/>
        <v>477.00319444444443</v>
      </c>
      <c r="Q135">
        <f t="shared" si="23"/>
        <v>5724.038333333333</v>
      </c>
      <c r="R135">
        <f t="shared" si="24"/>
        <v>0</v>
      </c>
      <c r="S135">
        <f t="shared" si="25"/>
        <v>28620.191666666666</v>
      </c>
      <c r="T135">
        <f t="shared" si="26"/>
        <v>28620.191666666666</v>
      </c>
      <c r="U135">
        <f t="shared" si="27"/>
        <v>0</v>
      </c>
      <c r="X135" t="s">
        <v>428</v>
      </c>
    </row>
    <row r="136" spans="1:24">
      <c r="A136" t="s">
        <v>47</v>
      </c>
      <c r="B136" t="s">
        <v>343</v>
      </c>
      <c r="C136">
        <v>4056</v>
      </c>
      <c r="D136" t="s">
        <v>213</v>
      </c>
      <c r="G136">
        <v>2007</v>
      </c>
      <c r="H136">
        <v>4</v>
      </c>
      <c r="I136">
        <v>0.2</v>
      </c>
      <c r="J136" t="s">
        <v>30</v>
      </c>
      <c r="K136">
        <v>7</v>
      </c>
      <c r="L136">
        <f t="shared" si="20"/>
        <v>2014</v>
      </c>
      <c r="M136">
        <f t="shared" si="28"/>
        <v>2014.3333333333333</v>
      </c>
      <c r="N136">
        <v>157082.84</v>
      </c>
      <c r="O136">
        <f t="shared" si="21"/>
        <v>125666.272</v>
      </c>
      <c r="P136">
        <f t="shared" si="22"/>
        <v>1496.0270476190474</v>
      </c>
      <c r="Q136">
        <f t="shared" si="23"/>
        <v>17952.324571428569</v>
      </c>
      <c r="R136">
        <f t="shared" si="24"/>
        <v>0</v>
      </c>
      <c r="S136">
        <f t="shared" si="25"/>
        <v>157082.84</v>
      </c>
      <c r="T136">
        <f t="shared" si="26"/>
        <v>125666.272</v>
      </c>
      <c r="U136">
        <f t="shared" si="27"/>
        <v>0</v>
      </c>
      <c r="X136" t="s">
        <v>427</v>
      </c>
    </row>
    <row r="137" spans="1:24">
      <c r="A137" t="s">
        <v>47</v>
      </c>
      <c r="B137" t="s">
        <v>343</v>
      </c>
      <c r="C137">
        <v>4060</v>
      </c>
      <c r="D137" t="s">
        <v>62</v>
      </c>
      <c r="G137">
        <v>2007</v>
      </c>
      <c r="H137">
        <v>9</v>
      </c>
      <c r="I137">
        <v>0.2</v>
      </c>
      <c r="J137" t="s">
        <v>30</v>
      </c>
      <c r="K137">
        <v>7</v>
      </c>
      <c r="L137">
        <f t="shared" si="20"/>
        <v>2014</v>
      </c>
      <c r="M137">
        <f t="shared" si="28"/>
        <v>2014.75</v>
      </c>
      <c r="N137">
        <v>157161.14000000001</v>
      </c>
      <c r="O137">
        <f t="shared" si="21"/>
        <v>125728.91200000001</v>
      </c>
      <c r="P137">
        <f t="shared" si="22"/>
        <v>1496.7727619047621</v>
      </c>
      <c r="Q137">
        <f t="shared" si="23"/>
        <v>17961.273142857146</v>
      </c>
      <c r="R137">
        <f t="shared" si="24"/>
        <v>0</v>
      </c>
      <c r="S137">
        <f t="shared" si="25"/>
        <v>157161.14000000001</v>
      </c>
      <c r="T137">
        <f t="shared" si="26"/>
        <v>125728.91200000001</v>
      </c>
      <c r="U137">
        <f t="shared" si="27"/>
        <v>0</v>
      </c>
      <c r="X137" t="s">
        <v>427</v>
      </c>
    </row>
    <row r="138" spans="1:24">
      <c r="A138" t="s">
        <v>47</v>
      </c>
      <c r="B138" t="s">
        <v>343</v>
      </c>
      <c r="C138">
        <v>4063</v>
      </c>
      <c r="D138" t="s">
        <v>61</v>
      </c>
      <c r="G138">
        <v>2007</v>
      </c>
      <c r="H138">
        <v>11</v>
      </c>
      <c r="I138">
        <v>0.2</v>
      </c>
      <c r="J138" t="s">
        <v>30</v>
      </c>
      <c r="K138">
        <v>7</v>
      </c>
      <c r="L138">
        <f t="shared" si="20"/>
        <v>2014</v>
      </c>
      <c r="M138">
        <f t="shared" si="28"/>
        <v>2014.9166666666667</v>
      </c>
      <c r="N138">
        <v>163233.62</v>
      </c>
      <c r="O138">
        <f t="shared" si="21"/>
        <v>130586.89599999999</v>
      </c>
      <c r="P138">
        <f t="shared" si="22"/>
        <v>1554.6059047619046</v>
      </c>
      <c r="Q138">
        <f t="shared" si="23"/>
        <v>18655.270857142856</v>
      </c>
      <c r="R138">
        <f t="shared" si="24"/>
        <v>0</v>
      </c>
      <c r="S138">
        <f t="shared" si="25"/>
        <v>163233.62</v>
      </c>
      <c r="T138">
        <f t="shared" si="26"/>
        <v>130586.89599999999</v>
      </c>
      <c r="U138">
        <f t="shared" si="27"/>
        <v>0</v>
      </c>
    </row>
    <row r="139" spans="1:24">
      <c r="A139" t="s">
        <v>47</v>
      </c>
      <c r="B139" t="s">
        <v>343</v>
      </c>
      <c r="C139">
        <v>4070</v>
      </c>
      <c r="D139" t="s">
        <v>422</v>
      </c>
      <c r="E139">
        <v>60796</v>
      </c>
      <c r="F139" t="s">
        <v>372</v>
      </c>
      <c r="G139">
        <v>2008</v>
      </c>
      <c r="H139">
        <v>11</v>
      </c>
      <c r="I139">
        <v>0.2</v>
      </c>
      <c r="J139" t="s">
        <v>30</v>
      </c>
      <c r="K139">
        <v>7</v>
      </c>
      <c r="L139">
        <f t="shared" si="20"/>
        <v>2015</v>
      </c>
      <c r="M139">
        <f t="shared" si="28"/>
        <v>2015.9166666666667</v>
      </c>
      <c r="N139">
        <v>34476.36</v>
      </c>
      <c r="O139">
        <f t="shared" si="21"/>
        <v>27581.088</v>
      </c>
      <c r="P139">
        <f t="shared" si="22"/>
        <v>328.34628571428573</v>
      </c>
      <c r="Q139">
        <f t="shared" si="23"/>
        <v>3940.1554285714287</v>
      </c>
      <c r="R139">
        <f t="shared" si="24"/>
        <v>0</v>
      </c>
      <c r="S139">
        <f t="shared" si="25"/>
        <v>34476.36</v>
      </c>
      <c r="T139">
        <f t="shared" si="26"/>
        <v>27581.088</v>
      </c>
      <c r="U139">
        <f t="shared" si="27"/>
        <v>0</v>
      </c>
    </row>
    <row r="140" spans="1:24">
      <c r="A140" t="s">
        <v>47</v>
      </c>
      <c r="B140" t="s">
        <v>343</v>
      </c>
      <c r="C140">
        <v>4070</v>
      </c>
      <c r="D140" t="s">
        <v>315</v>
      </c>
      <c r="G140">
        <v>2009</v>
      </c>
      <c r="H140">
        <v>1</v>
      </c>
      <c r="I140">
        <v>0</v>
      </c>
      <c r="J140" t="s">
        <v>30</v>
      </c>
      <c r="K140">
        <v>3</v>
      </c>
      <c r="L140">
        <f t="shared" si="20"/>
        <v>2012</v>
      </c>
      <c r="M140">
        <f t="shared" si="28"/>
        <v>2012.0833333333333</v>
      </c>
      <c r="N140">
        <v>3895.03</v>
      </c>
      <c r="O140">
        <f t="shared" si="21"/>
        <v>3895.03</v>
      </c>
      <c r="P140">
        <f t="shared" si="22"/>
        <v>108.19527777777779</v>
      </c>
      <c r="Q140">
        <f t="shared" si="23"/>
        <v>1298.3433333333335</v>
      </c>
      <c r="R140">
        <f t="shared" si="24"/>
        <v>0</v>
      </c>
      <c r="S140">
        <f t="shared" si="25"/>
        <v>3895.03</v>
      </c>
      <c r="T140">
        <f t="shared" si="26"/>
        <v>3895.03</v>
      </c>
      <c r="U140">
        <f t="shared" si="27"/>
        <v>0</v>
      </c>
    </row>
    <row r="141" spans="1:24">
      <c r="A141" t="s">
        <v>47</v>
      </c>
      <c r="B141" t="s">
        <v>343</v>
      </c>
      <c r="C141">
        <v>4067</v>
      </c>
      <c r="D141" t="s">
        <v>164</v>
      </c>
      <c r="E141">
        <v>60862</v>
      </c>
      <c r="G141">
        <v>2009</v>
      </c>
      <c r="H141">
        <v>1</v>
      </c>
      <c r="I141">
        <v>0.2</v>
      </c>
      <c r="J141" t="s">
        <v>30</v>
      </c>
      <c r="K141">
        <v>7</v>
      </c>
      <c r="L141">
        <f t="shared" si="20"/>
        <v>2016</v>
      </c>
      <c r="M141">
        <f t="shared" si="28"/>
        <v>2016.0833333333333</v>
      </c>
      <c r="N141">
        <v>3895.03</v>
      </c>
      <c r="O141">
        <f t="shared" si="21"/>
        <v>3116.0240000000003</v>
      </c>
      <c r="P141">
        <f t="shared" si="22"/>
        <v>37.095523809523812</v>
      </c>
      <c r="Q141">
        <f t="shared" si="23"/>
        <v>445.14628571428574</v>
      </c>
      <c r="R141">
        <f t="shared" si="24"/>
        <v>0</v>
      </c>
      <c r="S141">
        <f t="shared" si="25"/>
        <v>3895.03</v>
      </c>
      <c r="T141">
        <f t="shared" si="26"/>
        <v>3116.0240000000003</v>
      </c>
      <c r="U141">
        <f t="shared" si="27"/>
        <v>0</v>
      </c>
    </row>
    <row r="142" spans="1:24">
      <c r="A142" t="s">
        <v>47</v>
      </c>
      <c r="B142" t="s">
        <v>343</v>
      </c>
      <c r="C142">
        <v>4067</v>
      </c>
      <c r="D142" t="s">
        <v>422</v>
      </c>
      <c r="G142">
        <v>2009</v>
      </c>
      <c r="H142">
        <v>1</v>
      </c>
      <c r="I142">
        <v>0.2</v>
      </c>
      <c r="J142" t="s">
        <v>30</v>
      </c>
      <c r="K142">
        <v>7</v>
      </c>
      <c r="L142">
        <f t="shared" si="20"/>
        <v>2016</v>
      </c>
      <c r="M142">
        <f t="shared" si="28"/>
        <v>2016.0833333333333</v>
      </c>
      <c r="N142">
        <v>165486.5</v>
      </c>
      <c r="O142">
        <f t="shared" si="21"/>
        <v>132389.20000000001</v>
      </c>
      <c r="P142">
        <f t="shared" si="22"/>
        <v>1576.0619047619048</v>
      </c>
      <c r="Q142">
        <f t="shared" si="23"/>
        <v>18912.742857142857</v>
      </c>
      <c r="R142">
        <f t="shared" si="24"/>
        <v>0</v>
      </c>
      <c r="S142">
        <f t="shared" si="25"/>
        <v>165486.5</v>
      </c>
      <c r="T142">
        <f t="shared" si="26"/>
        <v>132389.20000000001</v>
      </c>
      <c r="U142">
        <f t="shared" si="27"/>
        <v>0</v>
      </c>
    </row>
    <row r="143" spans="1:24">
      <c r="D143" t="s">
        <v>442</v>
      </c>
      <c r="E143" t="s">
        <v>443</v>
      </c>
      <c r="F143" t="s">
        <v>372</v>
      </c>
      <c r="G143">
        <v>2009</v>
      </c>
      <c r="H143">
        <v>7</v>
      </c>
      <c r="I143">
        <v>0</v>
      </c>
      <c r="J143" t="s">
        <v>30</v>
      </c>
      <c r="K143">
        <v>5</v>
      </c>
      <c r="L143">
        <f t="shared" si="20"/>
        <v>2014</v>
      </c>
      <c r="M143">
        <f t="shared" si="28"/>
        <v>2014.5833333333333</v>
      </c>
      <c r="N143">
        <f>(6722.48+38653.29+641.31+1194.22+14225.95)*7/61</f>
        <v>7050.1762295081971</v>
      </c>
      <c r="O143">
        <f t="shared" si="21"/>
        <v>7050.1762295081971</v>
      </c>
      <c r="P143">
        <f t="shared" si="22"/>
        <v>117.50293715846995</v>
      </c>
      <c r="Q143">
        <f t="shared" si="23"/>
        <v>1410.0352459016394</v>
      </c>
      <c r="R143">
        <f t="shared" si="24"/>
        <v>0</v>
      </c>
      <c r="S143">
        <f t="shared" si="25"/>
        <v>7050.1762295081971</v>
      </c>
      <c r="T143">
        <f t="shared" si="26"/>
        <v>7050.1762295081971</v>
      </c>
      <c r="U143">
        <f t="shared" si="27"/>
        <v>0</v>
      </c>
    </row>
    <row r="144" spans="1:24">
      <c r="D144" t="s">
        <v>448</v>
      </c>
      <c r="E144" t="s">
        <v>447</v>
      </c>
      <c r="G144">
        <v>2009</v>
      </c>
      <c r="H144">
        <v>7</v>
      </c>
      <c r="I144">
        <v>0</v>
      </c>
      <c r="J144" t="s">
        <v>30</v>
      </c>
      <c r="K144">
        <v>5</v>
      </c>
      <c r="L144">
        <f t="shared" si="20"/>
        <v>2014</v>
      </c>
      <c r="M144">
        <f t="shared" si="28"/>
        <v>2014.5833333333333</v>
      </c>
      <c r="N144">
        <f>(34912.65+1078.65+10913.06)*6/46</f>
        <v>6117.9600000000009</v>
      </c>
      <c r="O144">
        <f t="shared" si="21"/>
        <v>6117.9600000000009</v>
      </c>
      <c r="P144">
        <f t="shared" si="22"/>
        <v>101.96600000000001</v>
      </c>
      <c r="Q144">
        <f t="shared" si="23"/>
        <v>1223.5920000000001</v>
      </c>
      <c r="R144">
        <f t="shared" si="24"/>
        <v>0</v>
      </c>
      <c r="S144">
        <f t="shared" si="25"/>
        <v>6117.9600000000009</v>
      </c>
      <c r="T144">
        <f t="shared" si="26"/>
        <v>6117.9600000000009</v>
      </c>
      <c r="U144">
        <f t="shared" si="27"/>
        <v>0</v>
      </c>
    </row>
    <row r="145" spans="2:21">
      <c r="D145" t="s">
        <v>377</v>
      </c>
      <c r="E145">
        <v>75160</v>
      </c>
      <c r="F145" t="s">
        <v>372</v>
      </c>
      <c r="G145">
        <v>2010</v>
      </c>
      <c r="H145">
        <v>6</v>
      </c>
      <c r="I145">
        <v>0</v>
      </c>
      <c r="J145" t="s">
        <v>30</v>
      </c>
      <c r="K145">
        <v>5</v>
      </c>
      <c r="L145">
        <f t="shared" si="20"/>
        <v>2015</v>
      </c>
      <c r="M145">
        <f t="shared" si="28"/>
        <v>2015.5</v>
      </c>
      <c r="N145">
        <f>16772.32*7/61</f>
        <v>1924.6924590163933</v>
      </c>
      <c r="O145">
        <f t="shared" si="21"/>
        <v>1924.6924590163933</v>
      </c>
      <c r="P145">
        <f t="shared" si="22"/>
        <v>32.078207650273221</v>
      </c>
      <c r="Q145">
        <f t="shared" si="23"/>
        <v>384.93849180327868</v>
      </c>
      <c r="R145">
        <f t="shared" si="24"/>
        <v>0</v>
      </c>
      <c r="S145">
        <f t="shared" si="25"/>
        <v>1924.6924590163933</v>
      </c>
      <c r="T145">
        <f t="shared" si="26"/>
        <v>1924.6924590163933</v>
      </c>
      <c r="U145">
        <f t="shared" si="27"/>
        <v>0</v>
      </c>
    </row>
    <row r="146" spans="2:21">
      <c r="B146" t="s">
        <v>343</v>
      </c>
      <c r="C146">
        <v>4042</v>
      </c>
      <c r="D146" t="s">
        <v>742</v>
      </c>
      <c r="E146">
        <v>113248</v>
      </c>
      <c r="G146">
        <v>2014</v>
      </c>
      <c r="H146">
        <v>4</v>
      </c>
      <c r="I146">
        <v>0</v>
      </c>
      <c r="J146" t="s">
        <v>30</v>
      </c>
      <c r="K146">
        <v>5</v>
      </c>
      <c r="L146">
        <f t="shared" si="20"/>
        <v>2019</v>
      </c>
      <c r="M146">
        <f t="shared" si="28"/>
        <v>2019.3333333333333</v>
      </c>
      <c r="N146">
        <f>6778.26/7</f>
        <v>968.32285714285717</v>
      </c>
      <c r="O146">
        <f t="shared" si="21"/>
        <v>968.32285714285717</v>
      </c>
      <c r="P146">
        <f t="shared" si="22"/>
        <v>16.138714285714286</v>
      </c>
      <c r="Q146">
        <f t="shared" si="23"/>
        <v>193.66457142857143</v>
      </c>
      <c r="R146">
        <f t="shared" si="24"/>
        <v>193.66457142857143</v>
      </c>
      <c r="S146">
        <f t="shared" si="25"/>
        <v>580.9937142857143</v>
      </c>
      <c r="T146">
        <f t="shared" si="26"/>
        <v>774.65828571428574</v>
      </c>
      <c r="U146">
        <f t="shared" si="27"/>
        <v>290.49685714285715</v>
      </c>
    </row>
    <row r="147" spans="2:21">
      <c r="C147">
        <v>4051</v>
      </c>
      <c r="D147" t="s">
        <v>742</v>
      </c>
      <c r="E147">
        <v>113248</v>
      </c>
      <c r="G147">
        <v>2014</v>
      </c>
      <c r="H147">
        <v>4</v>
      </c>
      <c r="I147">
        <v>0</v>
      </c>
      <c r="J147" t="s">
        <v>30</v>
      </c>
      <c r="K147">
        <v>5</v>
      </c>
      <c r="L147">
        <f t="shared" si="20"/>
        <v>2019</v>
      </c>
      <c r="M147">
        <f t="shared" si="28"/>
        <v>2019.3333333333333</v>
      </c>
      <c r="N147">
        <f t="shared" ref="N147:N152" si="29">6778.26/7</f>
        <v>968.32285714285717</v>
      </c>
      <c r="O147">
        <f t="shared" si="21"/>
        <v>968.32285714285717</v>
      </c>
      <c r="P147">
        <f t="shared" si="22"/>
        <v>16.138714285714286</v>
      </c>
      <c r="Q147">
        <f t="shared" si="23"/>
        <v>193.66457142857143</v>
      </c>
      <c r="R147">
        <f t="shared" si="24"/>
        <v>193.66457142857143</v>
      </c>
      <c r="S147">
        <f t="shared" si="25"/>
        <v>580.9937142857143</v>
      </c>
      <c r="T147">
        <f t="shared" si="26"/>
        <v>774.65828571428574</v>
      </c>
      <c r="U147">
        <f t="shared" si="27"/>
        <v>290.49685714285715</v>
      </c>
    </row>
    <row r="148" spans="2:21">
      <c r="C148">
        <v>4052</v>
      </c>
      <c r="D148" t="s">
        <v>742</v>
      </c>
      <c r="E148">
        <v>113248</v>
      </c>
      <c r="G148">
        <v>2014</v>
      </c>
      <c r="H148">
        <v>4</v>
      </c>
      <c r="I148">
        <v>0</v>
      </c>
      <c r="J148" t="s">
        <v>30</v>
      </c>
      <c r="K148">
        <v>5</v>
      </c>
      <c r="L148">
        <f t="shared" si="20"/>
        <v>2019</v>
      </c>
      <c r="M148">
        <f t="shared" si="28"/>
        <v>2019.3333333333333</v>
      </c>
      <c r="N148">
        <f t="shared" si="29"/>
        <v>968.32285714285717</v>
      </c>
      <c r="O148">
        <f t="shared" si="21"/>
        <v>968.32285714285717</v>
      </c>
      <c r="P148">
        <f t="shared" si="22"/>
        <v>16.138714285714286</v>
      </c>
      <c r="Q148">
        <f t="shared" si="23"/>
        <v>193.66457142857143</v>
      </c>
      <c r="R148">
        <f t="shared" si="24"/>
        <v>193.66457142857143</v>
      </c>
      <c r="S148">
        <f t="shared" si="25"/>
        <v>580.9937142857143</v>
      </c>
      <c r="T148">
        <f t="shared" si="26"/>
        <v>774.65828571428574</v>
      </c>
      <c r="U148">
        <f t="shared" si="27"/>
        <v>290.49685714285715</v>
      </c>
    </row>
    <row r="149" spans="2:21">
      <c r="C149">
        <v>4053</v>
      </c>
      <c r="D149" t="s">
        <v>742</v>
      </c>
      <c r="E149">
        <v>113248</v>
      </c>
      <c r="G149">
        <v>2014</v>
      </c>
      <c r="H149">
        <v>4</v>
      </c>
      <c r="I149">
        <v>0</v>
      </c>
      <c r="J149" t="s">
        <v>30</v>
      </c>
      <c r="K149">
        <v>5</v>
      </c>
      <c r="L149">
        <f t="shared" si="20"/>
        <v>2019</v>
      </c>
      <c r="M149">
        <f t="shared" si="28"/>
        <v>2019.3333333333333</v>
      </c>
      <c r="N149">
        <f t="shared" si="29"/>
        <v>968.32285714285717</v>
      </c>
      <c r="O149">
        <f t="shared" si="21"/>
        <v>968.32285714285717</v>
      </c>
      <c r="P149">
        <f t="shared" si="22"/>
        <v>16.138714285714286</v>
      </c>
      <c r="Q149">
        <f t="shared" si="23"/>
        <v>193.66457142857143</v>
      </c>
      <c r="R149">
        <f t="shared" si="24"/>
        <v>193.66457142857143</v>
      </c>
      <c r="S149">
        <f t="shared" si="25"/>
        <v>580.9937142857143</v>
      </c>
      <c r="T149">
        <f t="shared" si="26"/>
        <v>774.65828571428574</v>
      </c>
      <c r="U149">
        <f t="shared" si="27"/>
        <v>290.49685714285715</v>
      </c>
    </row>
    <row r="150" spans="2:21">
      <c r="C150">
        <v>4060</v>
      </c>
      <c r="D150" t="s">
        <v>742</v>
      </c>
      <c r="E150">
        <v>113248</v>
      </c>
      <c r="G150">
        <v>2014</v>
      </c>
      <c r="H150">
        <v>4</v>
      </c>
      <c r="I150">
        <v>0</v>
      </c>
      <c r="J150" t="s">
        <v>30</v>
      </c>
      <c r="K150">
        <v>5</v>
      </c>
      <c r="L150">
        <f t="shared" si="20"/>
        <v>2019</v>
      </c>
      <c r="M150">
        <f t="shared" si="28"/>
        <v>2019.3333333333333</v>
      </c>
      <c r="N150">
        <f t="shared" si="29"/>
        <v>968.32285714285717</v>
      </c>
      <c r="O150">
        <f t="shared" si="21"/>
        <v>968.32285714285717</v>
      </c>
      <c r="P150">
        <f t="shared" si="22"/>
        <v>16.138714285714286</v>
      </c>
      <c r="Q150">
        <f t="shared" si="23"/>
        <v>193.66457142857143</v>
      </c>
      <c r="R150">
        <f t="shared" si="24"/>
        <v>193.66457142857143</v>
      </c>
      <c r="S150">
        <f t="shared" si="25"/>
        <v>580.9937142857143</v>
      </c>
      <c r="T150">
        <f t="shared" si="26"/>
        <v>774.65828571428574</v>
      </c>
      <c r="U150">
        <f t="shared" si="27"/>
        <v>290.49685714285715</v>
      </c>
    </row>
    <row r="151" spans="2:21">
      <c r="C151">
        <v>4063</v>
      </c>
      <c r="D151" t="s">
        <v>742</v>
      </c>
      <c r="E151">
        <v>113248</v>
      </c>
      <c r="G151">
        <v>2014</v>
      </c>
      <c r="H151">
        <v>4</v>
      </c>
      <c r="I151">
        <v>0</v>
      </c>
      <c r="J151" t="s">
        <v>30</v>
      </c>
      <c r="K151">
        <v>5</v>
      </c>
      <c r="L151">
        <f t="shared" si="20"/>
        <v>2019</v>
      </c>
      <c r="M151">
        <f t="shared" si="28"/>
        <v>2019.3333333333333</v>
      </c>
      <c r="N151">
        <f t="shared" si="29"/>
        <v>968.32285714285717</v>
      </c>
      <c r="O151">
        <f t="shared" si="21"/>
        <v>968.32285714285717</v>
      </c>
      <c r="P151">
        <f t="shared" si="22"/>
        <v>16.138714285714286</v>
      </c>
      <c r="Q151">
        <f t="shared" si="23"/>
        <v>193.66457142857143</v>
      </c>
      <c r="R151">
        <f t="shared" si="24"/>
        <v>193.66457142857143</v>
      </c>
      <c r="S151">
        <f t="shared" si="25"/>
        <v>580.9937142857143</v>
      </c>
      <c r="T151">
        <f t="shared" si="26"/>
        <v>774.65828571428574</v>
      </c>
      <c r="U151">
        <f t="shared" si="27"/>
        <v>290.49685714285715</v>
      </c>
    </row>
    <row r="152" spans="2:21">
      <c r="C152">
        <v>4067</v>
      </c>
      <c r="D152" t="s">
        <v>742</v>
      </c>
      <c r="E152">
        <v>113248</v>
      </c>
      <c r="G152">
        <v>2014</v>
      </c>
      <c r="H152">
        <v>4</v>
      </c>
      <c r="I152">
        <v>0</v>
      </c>
      <c r="J152" t="s">
        <v>30</v>
      </c>
      <c r="K152">
        <v>5</v>
      </c>
      <c r="L152">
        <f t="shared" si="20"/>
        <v>2019</v>
      </c>
      <c r="M152">
        <f t="shared" si="28"/>
        <v>2019.3333333333333</v>
      </c>
      <c r="N152">
        <f t="shared" si="29"/>
        <v>968.32285714285717</v>
      </c>
      <c r="O152">
        <f t="shared" si="21"/>
        <v>968.32285714285717</v>
      </c>
      <c r="P152">
        <f t="shared" si="22"/>
        <v>16.138714285714286</v>
      </c>
      <c r="Q152">
        <f t="shared" si="23"/>
        <v>193.66457142857143</v>
      </c>
      <c r="R152">
        <f t="shared" si="24"/>
        <v>193.66457142857143</v>
      </c>
      <c r="S152">
        <f t="shared" si="25"/>
        <v>580.9937142857143</v>
      </c>
      <c r="T152">
        <f t="shared" si="26"/>
        <v>774.65828571428574</v>
      </c>
      <c r="U152">
        <f t="shared" si="27"/>
        <v>290.49685714285715</v>
      </c>
    </row>
    <row r="153" spans="2:21">
      <c r="B153" t="s">
        <v>343</v>
      </c>
      <c r="C153">
        <v>4070</v>
      </c>
      <c r="D153" t="s">
        <v>741</v>
      </c>
      <c r="E153">
        <v>113896</v>
      </c>
      <c r="F153">
        <v>60796</v>
      </c>
      <c r="G153">
        <v>2014</v>
      </c>
      <c r="H153">
        <v>4</v>
      </c>
      <c r="I153">
        <v>0</v>
      </c>
      <c r="J153" t="s">
        <v>30</v>
      </c>
      <c r="K153">
        <v>5</v>
      </c>
      <c r="L153">
        <f t="shared" si="20"/>
        <v>2019</v>
      </c>
      <c r="M153">
        <f t="shared" si="28"/>
        <v>2019.3333333333333</v>
      </c>
      <c r="N153">
        <f>1936.34/2</f>
        <v>968.17</v>
      </c>
      <c r="O153">
        <f t="shared" si="21"/>
        <v>968.17</v>
      </c>
      <c r="P153">
        <f t="shared" si="22"/>
        <v>16.136166666666664</v>
      </c>
      <c r="Q153">
        <f t="shared" si="23"/>
        <v>193.63399999999996</v>
      </c>
      <c r="R153">
        <f t="shared" si="24"/>
        <v>193.63399999999996</v>
      </c>
      <c r="S153">
        <f t="shared" si="25"/>
        <v>580.90199999999982</v>
      </c>
      <c r="T153">
        <f t="shared" si="26"/>
        <v>774.53599999999983</v>
      </c>
      <c r="U153">
        <f t="shared" si="27"/>
        <v>290.45100000000014</v>
      </c>
    </row>
    <row r="154" spans="2:21">
      <c r="C154">
        <v>4072</v>
      </c>
      <c r="D154" t="s">
        <v>740</v>
      </c>
      <c r="E154">
        <v>113896</v>
      </c>
      <c r="F154">
        <v>60797</v>
      </c>
      <c r="G154">
        <v>2014</v>
      </c>
      <c r="H154">
        <v>4</v>
      </c>
      <c r="I154">
        <v>0</v>
      </c>
      <c r="J154" t="s">
        <v>30</v>
      </c>
      <c r="K154">
        <v>5</v>
      </c>
      <c r="L154">
        <f>G154+K154</f>
        <v>2019</v>
      </c>
      <c r="M154">
        <f t="shared" si="28"/>
        <v>2019.3333333333333</v>
      </c>
      <c r="N154">
        <f>1936.34/2</f>
        <v>968.17</v>
      </c>
      <c r="O154">
        <f t="shared" si="21"/>
        <v>968.17</v>
      </c>
      <c r="P154">
        <f t="shared" si="22"/>
        <v>16.136166666666664</v>
      </c>
      <c r="Q154">
        <f t="shared" si="23"/>
        <v>193.63399999999996</v>
      </c>
      <c r="R154">
        <f t="shared" si="24"/>
        <v>193.63399999999996</v>
      </c>
      <c r="S154">
        <f t="shared" si="25"/>
        <v>580.90199999999982</v>
      </c>
      <c r="T154">
        <f t="shared" si="26"/>
        <v>774.53599999999983</v>
      </c>
      <c r="U154">
        <f t="shared" si="27"/>
        <v>290.45100000000014</v>
      </c>
    </row>
    <row r="155" spans="2:21">
      <c r="B155" t="s">
        <v>343</v>
      </c>
      <c r="C155">
        <v>4056</v>
      </c>
      <c r="D155" t="s">
        <v>729</v>
      </c>
      <c r="E155">
        <v>118514</v>
      </c>
      <c r="G155">
        <v>2014</v>
      </c>
      <c r="H155">
        <v>11</v>
      </c>
      <c r="I155">
        <v>0</v>
      </c>
      <c r="J155" t="s">
        <v>30</v>
      </c>
      <c r="K155">
        <v>3</v>
      </c>
      <c r="L155">
        <f t="shared" si="20"/>
        <v>2017</v>
      </c>
      <c r="M155">
        <f t="shared" si="28"/>
        <v>2017.9166666666667</v>
      </c>
      <c r="N155">
        <v>8921.6</v>
      </c>
      <c r="O155">
        <f t="shared" si="21"/>
        <v>8921.6</v>
      </c>
      <c r="P155">
        <f t="shared" si="22"/>
        <v>247.82222222222222</v>
      </c>
      <c r="Q155">
        <f t="shared" si="23"/>
        <v>2973.8666666666668</v>
      </c>
      <c r="R155">
        <f t="shared" si="24"/>
        <v>0</v>
      </c>
      <c r="S155">
        <f t="shared" si="25"/>
        <v>8921.6</v>
      </c>
      <c r="T155">
        <f t="shared" si="26"/>
        <v>8921.6</v>
      </c>
      <c r="U155">
        <f t="shared" si="27"/>
        <v>0</v>
      </c>
    </row>
    <row r="156" spans="2:21">
      <c r="B156" t="s">
        <v>343</v>
      </c>
      <c r="C156">
        <v>4051</v>
      </c>
      <c r="D156" t="s">
        <v>729</v>
      </c>
      <c r="E156">
        <v>118510</v>
      </c>
      <c r="G156">
        <v>2014</v>
      </c>
      <c r="H156">
        <v>11</v>
      </c>
      <c r="I156">
        <v>0</v>
      </c>
      <c r="J156" t="s">
        <v>30</v>
      </c>
      <c r="K156">
        <v>3</v>
      </c>
      <c r="L156">
        <f t="shared" si="20"/>
        <v>2017</v>
      </c>
      <c r="M156">
        <f t="shared" si="28"/>
        <v>2017.9166666666667</v>
      </c>
      <c r="N156">
        <v>8921.6</v>
      </c>
      <c r="O156">
        <f t="shared" si="21"/>
        <v>8921.6</v>
      </c>
      <c r="P156">
        <f t="shared" si="22"/>
        <v>247.82222222222222</v>
      </c>
      <c r="Q156">
        <f t="shared" si="23"/>
        <v>2973.8666666666668</v>
      </c>
      <c r="R156">
        <f t="shared" si="24"/>
        <v>0</v>
      </c>
      <c r="S156">
        <f t="shared" si="25"/>
        <v>8921.6</v>
      </c>
      <c r="T156">
        <f t="shared" si="26"/>
        <v>8921.6</v>
      </c>
      <c r="U156">
        <f t="shared" si="27"/>
        <v>0</v>
      </c>
    </row>
    <row r="157" spans="2:21">
      <c r="B157" t="s">
        <v>343</v>
      </c>
      <c r="C157">
        <v>4052</v>
      </c>
      <c r="D157" t="s">
        <v>729</v>
      </c>
      <c r="E157">
        <v>118511</v>
      </c>
      <c r="G157">
        <v>2014</v>
      </c>
      <c r="H157">
        <v>11</v>
      </c>
      <c r="I157">
        <v>0</v>
      </c>
      <c r="J157" t="s">
        <v>30</v>
      </c>
      <c r="K157">
        <v>3</v>
      </c>
      <c r="L157">
        <f t="shared" si="20"/>
        <v>2017</v>
      </c>
      <c r="M157">
        <f t="shared" si="28"/>
        <v>2017.9166666666667</v>
      </c>
      <c r="N157">
        <v>8921.6</v>
      </c>
      <c r="O157">
        <f t="shared" si="21"/>
        <v>8921.6</v>
      </c>
      <c r="P157">
        <f t="shared" si="22"/>
        <v>247.82222222222222</v>
      </c>
      <c r="Q157">
        <f t="shared" si="23"/>
        <v>2973.8666666666668</v>
      </c>
      <c r="R157">
        <f t="shared" si="24"/>
        <v>0</v>
      </c>
      <c r="S157">
        <f t="shared" si="25"/>
        <v>8921.6</v>
      </c>
      <c r="T157">
        <f t="shared" si="26"/>
        <v>8921.6</v>
      </c>
      <c r="U157">
        <f t="shared" si="27"/>
        <v>0</v>
      </c>
    </row>
    <row r="158" spans="2:21">
      <c r="B158" t="s">
        <v>343</v>
      </c>
      <c r="C158">
        <v>4042</v>
      </c>
      <c r="D158" t="s">
        <v>729</v>
      </c>
      <c r="E158">
        <v>118509</v>
      </c>
      <c r="G158">
        <v>2014</v>
      </c>
      <c r="H158">
        <v>11</v>
      </c>
      <c r="I158">
        <v>0</v>
      </c>
      <c r="J158" t="s">
        <v>30</v>
      </c>
      <c r="K158">
        <v>3</v>
      </c>
      <c r="L158">
        <f t="shared" si="20"/>
        <v>2017</v>
      </c>
      <c r="M158">
        <f t="shared" si="28"/>
        <v>2017.9166666666667</v>
      </c>
      <c r="N158">
        <v>8921.6</v>
      </c>
      <c r="O158">
        <f t="shared" si="21"/>
        <v>8921.6</v>
      </c>
      <c r="P158">
        <f t="shared" si="22"/>
        <v>247.82222222222222</v>
      </c>
      <c r="Q158">
        <f t="shared" si="23"/>
        <v>2973.8666666666668</v>
      </c>
      <c r="R158">
        <f t="shared" si="24"/>
        <v>0</v>
      </c>
      <c r="S158">
        <f t="shared" si="25"/>
        <v>8921.6</v>
      </c>
      <c r="T158">
        <f t="shared" si="26"/>
        <v>8921.6</v>
      </c>
      <c r="U158">
        <f t="shared" si="27"/>
        <v>0</v>
      </c>
    </row>
    <row r="159" spans="2:21">
      <c r="B159" t="s">
        <v>343</v>
      </c>
      <c r="C159">
        <v>4060</v>
      </c>
      <c r="D159" t="s">
        <v>729</v>
      </c>
      <c r="E159">
        <v>118512</v>
      </c>
      <c r="G159">
        <v>2014</v>
      </c>
      <c r="H159">
        <v>11</v>
      </c>
      <c r="I159">
        <v>0</v>
      </c>
      <c r="J159" t="s">
        <v>30</v>
      </c>
      <c r="K159">
        <v>3</v>
      </c>
      <c r="L159">
        <f t="shared" si="20"/>
        <v>2017</v>
      </c>
      <c r="M159">
        <f t="shared" si="28"/>
        <v>2017.9166666666667</v>
      </c>
      <c r="N159">
        <v>8921.6</v>
      </c>
      <c r="O159">
        <f t="shared" si="21"/>
        <v>8921.6</v>
      </c>
      <c r="P159">
        <f t="shared" si="22"/>
        <v>247.82222222222222</v>
      </c>
      <c r="Q159">
        <f t="shared" si="23"/>
        <v>2973.8666666666668</v>
      </c>
      <c r="R159">
        <f t="shared" si="24"/>
        <v>0</v>
      </c>
      <c r="S159">
        <f t="shared" si="25"/>
        <v>8921.6</v>
      </c>
      <c r="T159">
        <f t="shared" si="26"/>
        <v>8921.6</v>
      </c>
      <c r="U159">
        <f t="shared" si="27"/>
        <v>0</v>
      </c>
    </row>
    <row r="160" spans="2:21">
      <c r="B160" t="s">
        <v>343</v>
      </c>
      <c r="C160">
        <v>4063</v>
      </c>
      <c r="D160" t="s">
        <v>729</v>
      </c>
      <c r="E160">
        <v>118517</v>
      </c>
      <c r="G160">
        <v>2014</v>
      </c>
      <c r="H160">
        <v>12</v>
      </c>
      <c r="I160">
        <v>0</v>
      </c>
      <c r="J160" t="s">
        <v>30</v>
      </c>
      <c r="K160">
        <v>3</v>
      </c>
      <c r="L160">
        <f t="shared" si="20"/>
        <v>2017</v>
      </c>
      <c r="M160">
        <f t="shared" si="28"/>
        <v>2018</v>
      </c>
      <c r="N160">
        <v>8921.6</v>
      </c>
      <c r="O160">
        <f t="shared" si="21"/>
        <v>8921.6</v>
      </c>
      <c r="P160">
        <f t="shared" si="22"/>
        <v>247.82222222222222</v>
      </c>
      <c r="Q160">
        <f t="shared" si="23"/>
        <v>2973.8666666666668</v>
      </c>
      <c r="R160">
        <f t="shared" si="24"/>
        <v>0</v>
      </c>
      <c r="S160">
        <f t="shared" si="25"/>
        <v>8921.6</v>
      </c>
      <c r="T160">
        <f t="shared" si="26"/>
        <v>8921.6</v>
      </c>
      <c r="U160">
        <f t="shared" si="27"/>
        <v>0</v>
      </c>
    </row>
    <row r="161" spans="1:21">
      <c r="B161" t="s">
        <v>343</v>
      </c>
      <c r="C161">
        <v>4070</v>
      </c>
      <c r="D161" t="s">
        <v>729</v>
      </c>
      <c r="E161">
        <v>118516</v>
      </c>
      <c r="G161">
        <v>2014</v>
      </c>
      <c r="H161">
        <v>12</v>
      </c>
      <c r="I161">
        <v>0</v>
      </c>
      <c r="J161" t="s">
        <v>30</v>
      </c>
      <c r="K161">
        <v>3</v>
      </c>
      <c r="L161">
        <f t="shared" si="20"/>
        <v>2017</v>
      </c>
      <c r="M161">
        <f t="shared" si="28"/>
        <v>2018</v>
      </c>
      <c r="N161">
        <v>8921.6</v>
      </c>
      <c r="O161">
        <f t="shared" si="21"/>
        <v>8921.6</v>
      </c>
      <c r="P161">
        <f t="shared" si="22"/>
        <v>247.82222222222222</v>
      </c>
      <c r="Q161">
        <f t="shared" si="23"/>
        <v>2973.8666666666668</v>
      </c>
      <c r="R161">
        <f t="shared" si="24"/>
        <v>0</v>
      </c>
      <c r="S161">
        <f t="shared" si="25"/>
        <v>8921.6</v>
      </c>
      <c r="T161">
        <f t="shared" si="26"/>
        <v>8921.6</v>
      </c>
      <c r="U161">
        <f t="shared" si="27"/>
        <v>0</v>
      </c>
    </row>
    <row r="162" spans="1:21">
      <c r="B162" t="s">
        <v>343</v>
      </c>
      <c r="C162">
        <v>4067</v>
      </c>
      <c r="D162" t="s">
        <v>729</v>
      </c>
      <c r="E162">
        <v>118515</v>
      </c>
      <c r="G162">
        <v>2014</v>
      </c>
      <c r="H162">
        <v>12</v>
      </c>
      <c r="I162">
        <v>0</v>
      </c>
      <c r="J162" t="s">
        <v>30</v>
      </c>
      <c r="K162">
        <v>3</v>
      </c>
      <c r="L162">
        <f t="shared" si="20"/>
        <v>2017</v>
      </c>
      <c r="M162">
        <f t="shared" si="28"/>
        <v>2018</v>
      </c>
      <c r="N162">
        <v>8921.6</v>
      </c>
      <c r="O162">
        <f t="shared" si="21"/>
        <v>8921.6</v>
      </c>
      <c r="P162">
        <f t="shared" si="22"/>
        <v>247.82222222222222</v>
      </c>
      <c r="Q162">
        <f t="shared" si="23"/>
        <v>2973.8666666666668</v>
      </c>
      <c r="R162">
        <f t="shared" si="24"/>
        <v>0</v>
      </c>
      <c r="S162">
        <f t="shared" si="25"/>
        <v>8921.6</v>
      </c>
      <c r="T162">
        <f t="shared" si="26"/>
        <v>8921.6</v>
      </c>
      <c r="U162">
        <f t="shared" si="27"/>
        <v>0</v>
      </c>
    </row>
    <row r="163" spans="1:21">
      <c r="B163" t="s">
        <v>343</v>
      </c>
      <c r="C163">
        <v>4072</v>
      </c>
      <c r="D163" t="s">
        <v>729</v>
      </c>
      <c r="E163">
        <v>118518</v>
      </c>
      <c r="F163">
        <v>60797</v>
      </c>
      <c r="G163">
        <v>2014</v>
      </c>
      <c r="H163">
        <v>12</v>
      </c>
      <c r="I163">
        <v>0</v>
      </c>
      <c r="J163" t="s">
        <v>30</v>
      </c>
      <c r="K163">
        <v>3</v>
      </c>
      <c r="L163">
        <f t="shared" si="20"/>
        <v>2017</v>
      </c>
      <c r="M163">
        <f t="shared" si="28"/>
        <v>2018</v>
      </c>
      <c r="N163">
        <v>8921.6</v>
      </c>
      <c r="O163">
        <f t="shared" si="21"/>
        <v>8921.6</v>
      </c>
      <c r="P163">
        <f t="shared" si="22"/>
        <v>247.82222222222222</v>
      </c>
      <c r="Q163">
        <f t="shared" si="23"/>
        <v>2973.8666666666668</v>
      </c>
      <c r="R163">
        <f t="shared" si="24"/>
        <v>0</v>
      </c>
      <c r="S163">
        <f t="shared" si="25"/>
        <v>8921.6</v>
      </c>
      <c r="T163">
        <f t="shared" si="26"/>
        <v>8921.6</v>
      </c>
      <c r="U163">
        <f t="shared" si="27"/>
        <v>0</v>
      </c>
    </row>
    <row r="164" spans="1:21">
      <c r="B164" t="s">
        <v>343</v>
      </c>
      <c r="C164">
        <v>4075</v>
      </c>
      <c r="D164" t="s">
        <v>765</v>
      </c>
      <c r="E164">
        <v>123629</v>
      </c>
      <c r="G164">
        <v>2015</v>
      </c>
      <c r="H164">
        <v>6</v>
      </c>
      <c r="I164">
        <v>0.2</v>
      </c>
      <c r="J164" t="s">
        <v>30</v>
      </c>
      <c r="K164">
        <v>7</v>
      </c>
      <c r="L164">
        <f t="shared" si="20"/>
        <v>2022</v>
      </c>
      <c r="M164">
        <f t="shared" si="28"/>
        <v>2022.5</v>
      </c>
      <c r="N164">
        <v>202299.47</v>
      </c>
      <c r="O164">
        <f t="shared" si="21"/>
        <v>161839.576</v>
      </c>
      <c r="P164">
        <f t="shared" si="22"/>
        <v>1926.6616190476191</v>
      </c>
      <c r="Q164">
        <f t="shared" si="23"/>
        <v>23119.93942857143</v>
      </c>
      <c r="R164">
        <f t="shared" si="24"/>
        <v>23119.93942857143</v>
      </c>
      <c r="S164">
        <f t="shared" si="25"/>
        <v>46239.878857142859</v>
      </c>
      <c r="T164">
        <f t="shared" si="26"/>
        <v>28899.924285714282</v>
      </c>
      <c r="U164">
        <f t="shared" si="27"/>
        <v>164729.56842857145</v>
      </c>
    </row>
    <row r="165" spans="1:21">
      <c r="A165" t="s">
        <v>47</v>
      </c>
      <c r="B165" t="s">
        <v>343</v>
      </c>
      <c r="C165">
        <v>4077</v>
      </c>
      <c r="D165" t="s">
        <v>885</v>
      </c>
      <c r="E165">
        <v>189849</v>
      </c>
      <c r="G165">
        <v>2017</v>
      </c>
      <c r="H165">
        <v>12</v>
      </c>
      <c r="I165">
        <v>0</v>
      </c>
      <c r="J165" t="s">
        <v>30</v>
      </c>
      <c r="K165">
        <v>10</v>
      </c>
      <c r="L165">
        <f t="shared" si="20"/>
        <v>2027</v>
      </c>
      <c r="M165">
        <f t="shared" si="28"/>
        <v>2028</v>
      </c>
      <c r="N165">
        <v>257169.54</v>
      </c>
      <c r="O165">
        <f t="shared" si="21"/>
        <v>257169.54</v>
      </c>
      <c r="P165">
        <f t="shared" si="22"/>
        <v>2143.0795000000003</v>
      </c>
      <c r="Q165">
        <f t="shared" si="23"/>
        <v>25716.954000000005</v>
      </c>
      <c r="R165">
        <f t="shared" si="24"/>
        <v>25716.954000000005</v>
      </c>
      <c r="S165">
        <f t="shared" si="25"/>
        <v>0</v>
      </c>
      <c r="T165">
        <f t="shared" si="26"/>
        <v>25716.954000000005</v>
      </c>
      <c r="U165">
        <f t="shared" si="27"/>
        <v>244311.06300000002</v>
      </c>
    </row>
    <row r="166" spans="1:21">
      <c r="D166" t="s">
        <v>905</v>
      </c>
      <c r="E166">
        <v>189886</v>
      </c>
      <c r="G166">
        <v>2017</v>
      </c>
      <c r="H166">
        <v>12</v>
      </c>
      <c r="I166">
        <v>0</v>
      </c>
      <c r="J166" t="s">
        <v>30</v>
      </c>
      <c r="K166">
        <v>5</v>
      </c>
      <c r="L166">
        <f t="shared" si="20"/>
        <v>2022</v>
      </c>
      <c r="M166">
        <f t="shared" si="28"/>
        <v>2023</v>
      </c>
      <c r="N166">
        <v>2050.4699999999998</v>
      </c>
      <c r="O166">
        <f t="shared" si="21"/>
        <v>2050.4699999999998</v>
      </c>
      <c r="P166">
        <f t="shared" si="22"/>
        <v>34.174499999999995</v>
      </c>
      <c r="Q166">
        <f t="shared" si="23"/>
        <v>410.09399999999994</v>
      </c>
      <c r="R166">
        <f t="shared" si="24"/>
        <v>410.09399999999994</v>
      </c>
      <c r="S166">
        <f t="shared" si="25"/>
        <v>0</v>
      </c>
      <c r="T166">
        <f t="shared" si="26"/>
        <v>410.09399999999994</v>
      </c>
      <c r="U166">
        <f t="shared" si="27"/>
        <v>1845.4229999999998</v>
      </c>
    </row>
    <row r="167" spans="1:21">
      <c r="B167" t="s">
        <v>343</v>
      </c>
      <c r="D167" t="s">
        <v>921</v>
      </c>
      <c r="E167">
        <v>191851</v>
      </c>
      <c r="F167">
        <v>189849</v>
      </c>
      <c r="G167">
        <v>2018</v>
      </c>
      <c r="H167">
        <v>1</v>
      </c>
      <c r="I167">
        <v>0</v>
      </c>
      <c r="J167" t="s">
        <v>30</v>
      </c>
      <c r="K167">
        <v>10</v>
      </c>
      <c r="L167">
        <f t="shared" si="20"/>
        <v>2028</v>
      </c>
      <c r="M167">
        <f t="shared" si="28"/>
        <v>2028.0833333333333</v>
      </c>
      <c r="N167">
        <v>70.39</v>
      </c>
      <c r="O167">
        <f t="shared" si="21"/>
        <v>70.39</v>
      </c>
      <c r="P167">
        <f t="shared" si="22"/>
        <v>0.58658333333333335</v>
      </c>
      <c r="Q167">
        <f t="shared" si="23"/>
        <v>7.0389999999999997</v>
      </c>
      <c r="R167">
        <f t="shared" si="24"/>
        <v>7.0389999999999997</v>
      </c>
      <c r="S167">
        <f t="shared" si="25"/>
        <v>0</v>
      </c>
      <c r="T167">
        <f t="shared" si="26"/>
        <v>7.0389999999999997</v>
      </c>
      <c r="U167">
        <f t="shared" si="27"/>
        <v>66.870499999999993</v>
      </c>
    </row>
    <row r="168" spans="1:21">
      <c r="B168" t="s">
        <v>343</v>
      </c>
      <c r="D168" t="s">
        <v>932</v>
      </c>
      <c r="E168">
        <v>199114</v>
      </c>
      <c r="G168">
        <v>2018</v>
      </c>
      <c r="H168">
        <v>6</v>
      </c>
      <c r="I168">
        <v>0</v>
      </c>
      <c r="J168" t="s">
        <v>30</v>
      </c>
      <c r="K168">
        <v>10</v>
      </c>
      <c r="L168">
        <f t="shared" si="20"/>
        <v>2028</v>
      </c>
      <c r="M168">
        <f t="shared" si="28"/>
        <v>2028.5</v>
      </c>
      <c r="N168">
        <v>228215.43</v>
      </c>
      <c r="O168">
        <f t="shared" si="21"/>
        <v>228215.43</v>
      </c>
      <c r="P168">
        <f t="shared" si="22"/>
        <v>1901.7952499999999</v>
      </c>
      <c r="Q168">
        <f t="shared" si="23"/>
        <v>22821.542999999998</v>
      </c>
      <c r="R168">
        <f t="shared" si="24"/>
        <v>22821.542999999998</v>
      </c>
      <c r="S168">
        <f t="shared" si="25"/>
        <v>0</v>
      </c>
      <c r="T168">
        <f t="shared" si="26"/>
        <v>22821.542999999998</v>
      </c>
      <c r="U168">
        <f t="shared" si="27"/>
        <v>216804.65849999999</v>
      </c>
    </row>
    <row r="169" spans="1:21">
      <c r="B169" t="s">
        <v>343</v>
      </c>
      <c r="D169" t="s">
        <v>933</v>
      </c>
      <c r="E169">
        <v>199416</v>
      </c>
      <c r="F169">
        <v>199114</v>
      </c>
      <c r="G169">
        <v>2018</v>
      </c>
      <c r="H169">
        <v>6</v>
      </c>
      <c r="I169">
        <v>0</v>
      </c>
      <c r="J169" t="s">
        <v>30</v>
      </c>
      <c r="K169">
        <v>10</v>
      </c>
      <c r="L169">
        <f t="shared" si="20"/>
        <v>2028</v>
      </c>
      <c r="M169">
        <f t="shared" si="28"/>
        <v>2028.5</v>
      </c>
      <c r="N169">
        <v>70.39</v>
      </c>
      <c r="O169">
        <f t="shared" si="21"/>
        <v>70.39</v>
      </c>
      <c r="P169">
        <f t="shared" si="22"/>
        <v>0.58658333333333335</v>
      </c>
      <c r="Q169">
        <f t="shared" si="23"/>
        <v>7.0389999999999997</v>
      </c>
      <c r="R169">
        <f t="shared" si="24"/>
        <v>7.0389999999999997</v>
      </c>
      <c r="S169">
        <f t="shared" si="25"/>
        <v>0</v>
      </c>
      <c r="T169">
        <f t="shared" si="26"/>
        <v>7.0389999999999997</v>
      </c>
      <c r="U169">
        <f t="shared" si="27"/>
        <v>66.870499999999993</v>
      </c>
    </row>
    <row r="170" spans="1:21">
      <c r="B170" t="s">
        <v>343</v>
      </c>
      <c r="D170" t="s">
        <v>935</v>
      </c>
      <c r="E170">
        <v>199418</v>
      </c>
      <c r="G170">
        <v>2018</v>
      </c>
      <c r="H170">
        <v>6</v>
      </c>
      <c r="I170">
        <v>0</v>
      </c>
      <c r="J170" t="s">
        <v>30</v>
      </c>
      <c r="K170">
        <v>10</v>
      </c>
      <c r="L170">
        <f t="shared" si="20"/>
        <v>2028</v>
      </c>
      <c r="M170">
        <f t="shared" si="28"/>
        <v>2028.5</v>
      </c>
      <c r="N170">
        <v>70.39</v>
      </c>
      <c r="O170">
        <f t="shared" si="21"/>
        <v>70.39</v>
      </c>
      <c r="P170">
        <f t="shared" si="22"/>
        <v>0.58658333333333335</v>
      </c>
      <c r="Q170">
        <f t="shared" si="23"/>
        <v>7.0389999999999997</v>
      </c>
      <c r="R170">
        <f t="shared" si="24"/>
        <v>7.0389999999999997</v>
      </c>
      <c r="S170">
        <f t="shared" si="25"/>
        <v>0</v>
      </c>
      <c r="T170">
        <f t="shared" si="26"/>
        <v>7.0389999999999997</v>
      </c>
      <c r="U170">
        <f t="shared" si="27"/>
        <v>66.870499999999993</v>
      </c>
    </row>
    <row r="171" spans="1:21">
      <c r="B171" t="s">
        <v>343</v>
      </c>
      <c r="D171" t="s">
        <v>932</v>
      </c>
      <c r="E171">
        <v>199115</v>
      </c>
      <c r="G171">
        <v>2018</v>
      </c>
      <c r="H171">
        <v>6</v>
      </c>
      <c r="I171">
        <v>0</v>
      </c>
      <c r="J171" t="s">
        <v>30</v>
      </c>
      <c r="K171">
        <v>10</v>
      </c>
      <c r="L171">
        <f t="shared" si="20"/>
        <v>2028</v>
      </c>
      <c r="M171">
        <f t="shared" si="28"/>
        <v>2028.5</v>
      </c>
      <c r="N171">
        <v>228215.43</v>
      </c>
      <c r="O171">
        <f t="shared" si="21"/>
        <v>228215.43</v>
      </c>
      <c r="P171">
        <f t="shared" si="22"/>
        <v>1901.7952499999999</v>
      </c>
      <c r="Q171">
        <f t="shared" si="23"/>
        <v>22821.542999999998</v>
      </c>
      <c r="R171">
        <f t="shared" si="24"/>
        <v>22821.542999999998</v>
      </c>
      <c r="S171">
        <f t="shared" si="25"/>
        <v>0</v>
      </c>
      <c r="T171">
        <f t="shared" si="26"/>
        <v>22821.542999999998</v>
      </c>
      <c r="U171">
        <f t="shared" si="27"/>
        <v>216804.65849999999</v>
      </c>
    </row>
    <row r="172" spans="1:21">
      <c r="B172" t="s">
        <v>343</v>
      </c>
      <c r="D172" t="s">
        <v>934</v>
      </c>
      <c r="E172">
        <v>199417</v>
      </c>
      <c r="F172">
        <v>199115</v>
      </c>
      <c r="G172">
        <v>2018</v>
      </c>
      <c r="H172">
        <v>6</v>
      </c>
      <c r="I172">
        <v>0</v>
      </c>
      <c r="J172" t="s">
        <v>30</v>
      </c>
      <c r="K172">
        <v>10</v>
      </c>
      <c r="L172">
        <f t="shared" si="20"/>
        <v>2028</v>
      </c>
      <c r="M172">
        <f t="shared" si="28"/>
        <v>2028.5</v>
      </c>
      <c r="N172">
        <v>70.39</v>
      </c>
      <c r="O172">
        <f t="shared" si="21"/>
        <v>70.39</v>
      </c>
      <c r="P172">
        <f t="shared" si="22"/>
        <v>0.58658333333333335</v>
      </c>
      <c r="Q172">
        <f t="shared" si="23"/>
        <v>7.0389999999999997</v>
      </c>
      <c r="R172">
        <f t="shared" si="24"/>
        <v>7.0389999999999997</v>
      </c>
      <c r="S172">
        <f t="shared" si="25"/>
        <v>0</v>
      </c>
      <c r="T172">
        <f t="shared" si="26"/>
        <v>7.0389999999999997</v>
      </c>
      <c r="U172">
        <f t="shared" si="27"/>
        <v>66.870499999999993</v>
      </c>
    </row>
    <row r="173" spans="1:21">
      <c r="B173" t="s">
        <v>343</v>
      </c>
      <c r="D173" t="s">
        <v>932</v>
      </c>
      <c r="E173">
        <v>200786</v>
      </c>
      <c r="G173">
        <v>2018</v>
      </c>
      <c r="H173">
        <v>6</v>
      </c>
      <c r="I173">
        <v>0</v>
      </c>
      <c r="J173" t="s">
        <v>30</v>
      </c>
      <c r="K173">
        <v>10</v>
      </c>
      <c r="L173">
        <f t="shared" si="20"/>
        <v>2028</v>
      </c>
      <c r="M173">
        <f t="shared" si="28"/>
        <v>2028.5</v>
      </c>
      <c r="N173">
        <v>228285.83</v>
      </c>
      <c r="O173">
        <f t="shared" si="21"/>
        <v>228285.83</v>
      </c>
      <c r="P173">
        <f t="shared" si="22"/>
        <v>1902.3819166666665</v>
      </c>
      <c r="Q173">
        <f t="shared" si="23"/>
        <v>22828.582999999999</v>
      </c>
      <c r="R173">
        <f t="shared" si="24"/>
        <v>22828.582999999999</v>
      </c>
      <c r="S173">
        <f t="shared" si="25"/>
        <v>0</v>
      </c>
      <c r="T173">
        <f t="shared" si="26"/>
        <v>22828.582999999999</v>
      </c>
      <c r="U173">
        <f t="shared" si="27"/>
        <v>216871.53849999997</v>
      </c>
    </row>
    <row r="174" spans="1:21">
      <c r="B174" t="s">
        <v>343</v>
      </c>
      <c r="D174" t="s">
        <v>932</v>
      </c>
      <c r="E174">
        <v>200784</v>
      </c>
      <c r="G174">
        <v>2018</v>
      </c>
      <c r="H174">
        <v>7</v>
      </c>
      <c r="I174">
        <v>0</v>
      </c>
      <c r="J174" t="s">
        <v>30</v>
      </c>
      <c r="K174">
        <v>10</v>
      </c>
      <c r="L174">
        <f t="shared" si="20"/>
        <v>2028</v>
      </c>
      <c r="M174">
        <f t="shared" si="28"/>
        <v>2028.5833333333333</v>
      </c>
      <c r="N174">
        <v>228215.43</v>
      </c>
      <c r="O174">
        <f t="shared" si="21"/>
        <v>228215.43</v>
      </c>
      <c r="P174">
        <f t="shared" si="22"/>
        <v>1901.7952499999999</v>
      </c>
      <c r="Q174">
        <f t="shared" si="23"/>
        <v>22821.542999999998</v>
      </c>
      <c r="R174">
        <f t="shared" si="24"/>
        <v>22821.542999999998</v>
      </c>
      <c r="S174">
        <f t="shared" si="25"/>
        <v>0</v>
      </c>
      <c r="T174">
        <f t="shared" si="26"/>
        <v>22821.542999999998</v>
      </c>
      <c r="U174">
        <f t="shared" si="27"/>
        <v>216804.65849999999</v>
      </c>
    </row>
    <row r="176" spans="1:21">
      <c r="L176" t="s">
        <v>432</v>
      </c>
      <c r="N176">
        <f t="shared" ref="N176:U176" si="30">SUM(N131:N175)</f>
        <v>2668998.1303551919</v>
      </c>
      <c r="O176">
        <f t="shared" si="30"/>
        <v>2397008.6523551908</v>
      </c>
      <c r="P176">
        <f t="shared" si="30"/>
        <v>26049.795750364308</v>
      </c>
      <c r="Q176">
        <f t="shared" si="30"/>
        <v>312597.54900437163</v>
      </c>
      <c r="R176">
        <f t="shared" si="30"/>
        <v>142311.27542857145</v>
      </c>
      <c r="S176">
        <f t="shared" si="30"/>
        <v>1337019.0092123351</v>
      </c>
      <c r="T176">
        <f t="shared" si="30"/>
        <v>1207340.8066409063</v>
      </c>
      <c r="U176">
        <f t="shared" si="30"/>
        <v>1281053.4304285713</v>
      </c>
    </row>
    <row r="178" spans="1:24">
      <c r="B178" t="s">
        <v>433</v>
      </c>
    </row>
    <row r="179" spans="1:24">
      <c r="A179" t="s">
        <v>36</v>
      </c>
      <c r="B179" t="s">
        <v>342</v>
      </c>
      <c r="C179">
        <v>3574</v>
      </c>
      <c r="D179" t="s">
        <v>188</v>
      </c>
      <c r="G179">
        <v>2003</v>
      </c>
      <c r="H179">
        <v>7</v>
      </c>
      <c r="I179">
        <v>0.2</v>
      </c>
      <c r="J179" t="s">
        <v>30</v>
      </c>
      <c r="K179">
        <v>7</v>
      </c>
      <c r="L179">
        <f t="shared" ref="L179:L192" si="31">G179+K179</f>
        <v>2010</v>
      </c>
      <c r="M179">
        <f t="shared" ref="M179:M194" si="32">+L179+(H179/12)</f>
        <v>2010.5833333333333</v>
      </c>
      <c r="N179">
        <v>160627.26999999999</v>
      </c>
      <c r="O179">
        <f t="shared" ref="O179:O194" si="33">N179-N179*I179</f>
        <v>128501.81599999999</v>
      </c>
      <c r="P179">
        <f t="shared" ref="P179:P194" si="34">O179/K179/12</f>
        <v>1529.7835238095238</v>
      </c>
      <c r="Q179">
        <f t="shared" ref="Q179:Q194" si="35">P179*12</f>
        <v>18357.402285714285</v>
      </c>
      <c r="R179">
        <f t="shared" ref="R179:R194" si="36">+IF(M179&lt;=$O$6,0,IF(L179&gt;$O$5,Q179,(P179*G179)))</f>
        <v>0</v>
      </c>
      <c r="S179">
        <f t="shared" ref="S179:S194" si="37">+IF(R179=0,N179,IF($O$5-G179&lt;1,0,(($O$5-G179)*Q179)))</f>
        <v>160627.26999999999</v>
      </c>
      <c r="T179">
        <f t="shared" ref="T179:T194" si="38">+IF(R179=0,S179,S179+R179)-(N179-O179)</f>
        <v>128501.81599999999</v>
      </c>
      <c r="U179">
        <f t="shared" ref="U179:U194" si="39">+IF(R179=0,0,((N179-S179)+(N179-T179))/2)</f>
        <v>0</v>
      </c>
      <c r="X179" t="s">
        <v>428</v>
      </c>
    </row>
    <row r="180" spans="1:24">
      <c r="C180">
        <v>11085</v>
      </c>
      <c r="D180" t="s">
        <v>33</v>
      </c>
      <c r="G180">
        <v>2004</v>
      </c>
      <c r="H180">
        <v>12</v>
      </c>
      <c r="I180">
        <v>0.2</v>
      </c>
      <c r="J180" t="s">
        <v>30</v>
      </c>
      <c r="K180">
        <v>5</v>
      </c>
      <c r="L180">
        <f t="shared" si="31"/>
        <v>2009</v>
      </c>
      <c r="M180">
        <f t="shared" si="32"/>
        <v>2010</v>
      </c>
      <c r="N180">
        <f>154600.26*11/36</f>
        <v>47238.968333333338</v>
      </c>
      <c r="O180">
        <f t="shared" si="33"/>
        <v>37791.174666666673</v>
      </c>
      <c r="P180">
        <f t="shared" si="34"/>
        <v>629.85291111111121</v>
      </c>
      <c r="Q180">
        <f t="shared" si="35"/>
        <v>7558.234933333335</v>
      </c>
      <c r="R180">
        <f t="shared" si="36"/>
        <v>0</v>
      </c>
      <c r="S180">
        <f t="shared" si="37"/>
        <v>47238.968333333338</v>
      </c>
      <c r="T180">
        <f t="shared" si="38"/>
        <v>37791.174666666673</v>
      </c>
      <c r="U180">
        <f t="shared" si="39"/>
        <v>0</v>
      </c>
      <c r="X180" t="s">
        <v>428</v>
      </c>
    </row>
    <row r="181" spans="1:24">
      <c r="A181" t="s">
        <v>201</v>
      </c>
      <c r="B181" t="s">
        <v>342</v>
      </c>
      <c r="C181">
        <v>3578</v>
      </c>
      <c r="D181" t="s">
        <v>196</v>
      </c>
      <c r="G181">
        <v>2005</v>
      </c>
      <c r="H181">
        <v>3</v>
      </c>
      <c r="I181">
        <v>0.2</v>
      </c>
      <c r="J181" t="s">
        <v>30</v>
      </c>
      <c r="K181">
        <v>7</v>
      </c>
      <c r="L181">
        <f t="shared" si="31"/>
        <v>2012</v>
      </c>
      <c r="M181">
        <f t="shared" si="32"/>
        <v>2012.25</v>
      </c>
      <c r="N181">
        <v>172559.21</v>
      </c>
      <c r="O181">
        <f t="shared" si="33"/>
        <v>138047.36799999999</v>
      </c>
      <c r="P181">
        <f t="shared" si="34"/>
        <v>1643.4210476190474</v>
      </c>
      <c r="Q181">
        <f t="shared" si="35"/>
        <v>19721.052571428569</v>
      </c>
      <c r="R181">
        <f t="shared" si="36"/>
        <v>0</v>
      </c>
      <c r="S181">
        <f t="shared" si="37"/>
        <v>172559.21</v>
      </c>
      <c r="T181">
        <f t="shared" si="38"/>
        <v>138047.36799999999</v>
      </c>
      <c r="U181">
        <f t="shared" si="39"/>
        <v>0</v>
      </c>
      <c r="X181" t="s">
        <v>428</v>
      </c>
    </row>
    <row r="182" spans="1:24">
      <c r="A182" t="s">
        <v>36</v>
      </c>
      <c r="B182" t="s">
        <v>342</v>
      </c>
      <c r="C182">
        <v>3582</v>
      </c>
      <c r="D182" t="s">
        <v>42</v>
      </c>
      <c r="G182">
        <v>2005</v>
      </c>
      <c r="H182">
        <v>5</v>
      </c>
      <c r="I182">
        <v>0.2</v>
      </c>
      <c r="J182" t="s">
        <v>30</v>
      </c>
      <c r="K182">
        <v>7</v>
      </c>
      <c r="L182">
        <f t="shared" si="31"/>
        <v>2012</v>
      </c>
      <c r="M182">
        <f t="shared" si="32"/>
        <v>2012.4166666666667</v>
      </c>
      <c r="N182">
        <v>172559.21</v>
      </c>
      <c r="O182">
        <f t="shared" si="33"/>
        <v>138047.36799999999</v>
      </c>
      <c r="P182">
        <f t="shared" si="34"/>
        <v>1643.4210476190474</v>
      </c>
      <c r="Q182">
        <f t="shared" si="35"/>
        <v>19721.052571428569</v>
      </c>
      <c r="R182">
        <f t="shared" si="36"/>
        <v>0</v>
      </c>
      <c r="S182">
        <f t="shared" si="37"/>
        <v>172559.21</v>
      </c>
      <c r="T182">
        <f t="shared" si="38"/>
        <v>138047.36799999999</v>
      </c>
      <c r="U182">
        <f t="shared" si="39"/>
        <v>0</v>
      </c>
      <c r="X182" t="s">
        <v>428</v>
      </c>
    </row>
    <row r="183" spans="1:24">
      <c r="A183" t="s">
        <v>36</v>
      </c>
      <c r="B183" t="s">
        <v>342</v>
      </c>
      <c r="C183">
        <v>3583</v>
      </c>
      <c r="D183" t="s">
        <v>195</v>
      </c>
      <c r="G183">
        <v>2005</v>
      </c>
      <c r="H183">
        <v>6</v>
      </c>
      <c r="I183">
        <v>0.2</v>
      </c>
      <c r="J183" t="s">
        <v>30</v>
      </c>
      <c r="K183">
        <v>7</v>
      </c>
      <c r="L183">
        <f t="shared" si="31"/>
        <v>2012</v>
      </c>
      <c r="M183">
        <f t="shared" si="32"/>
        <v>2012.5</v>
      </c>
      <c r="N183">
        <v>168969.21</v>
      </c>
      <c r="O183">
        <f t="shared" si="33"/>
        <v>135175.36799999999</v>
      </c>
      <c r="P183">
        <f t="shared" si="34"/>
        <v>1609.2305714285712</v>
      </c>
      <c r="Q183">
        <f t="shared" si="35"/>
        <v>19310.766857142855</v>
      </c>
      <c r="R183">
        <f t="shared" si="36"/>
        <v>0</v>
      </c>
      <c r="S183">
        <f t="shared" si="37"/>
        <v>168969.21</v>
      </c>
      <c r="T183">
        <f t="shared" si="38"/>
        <v>135175.36799999999</v>
      </c>
      <c r="U183">
        <f t="shared" si="39"/>
        <v>0</v>
      </c>
      <c r="X183" t="s">
        <v>428</v>
      </c>
    </row>
    <row r="184" spans="1:24">
      <c r="A184" t="s">
        <v>36</v>
      </c>
      <c r="B184" t="s">
        <v>344</v>
      </c>
      <c r="C184">
        <v>9575</v>
      </c>
      <c r="D184" t="s">
        <v>204</v>
      </c>
      <c r="G184">
        <v>2005</v>
      </c>
      <c r="H184">
        <v>11</v>
      </c>
      <c r="I184">
        <v>0.2</v>
      </c>
      <c r="J184" t="s">
        <v>30</v>
      </c>
      <c r="K184">
        <v>7</v>
      </c>
      <c r="L184">
        <f t="shared" si="31"/>
        <v>2012</v>
      </c>
      <c r="M184">
        <f t="shared" si="32"/>
        <v>2012.9166666666667</v>
      </c>
      <c r="N184">
        <v>37779.26</v>
      </c>
      <c r="O184">
        <f t="shared" si="33"/>
        <v>30223.408000000003</v>
      </c>
      <c r="P184">
        <f t="shared" si="34"/>
        <v>359.80247619047623</v>
      </c>
      <c r="Q184">
        <f t="shared" si="35"/>
        <v>4317.6297142857147</v>
      </c>
      <c r="R184">
        <f t="shared" si="36"/>
        <v>0</v>
      </c>
      <c r="S184">
        <f t="shared" si="37"/>
        <v>37779.26</v>
      </c>
      <c r="T184">
        <f t="shared" si="38"/>
        <v>30223.408000000003</v>
      </c>
      <c r="U184">
        <f t="shared" si="39"/>
        <v>0</v>
      </c>
      <c r="X184" t="s">
        <v>428</v>
      </c>
    </row>
    <row r="185" spans="1:24">
      <c r="A185" t="s">
        <v>161</v>
      </c>
      <c r="B185" t="s">
        <v>342</v>
      </c>
      <c r="C185">
        <v>3588</v>
      </c>
      <c r="D185" t="s">
        <v>50</v>
      </c>
      <c r="G185">
        <v>2006</v>
      </c>
      <c r="H185">
        <v>6</v>
      </c>
      <c r="I185">
        <v>0.2</v>
      </c>
      <c r="J185" t="s">
        <v>30</v>
      </c>
      <c r="K185">
        <v>7</v>
      </c>
      <c r="L185">
        <f t="shared" si="31"/>
        <v>2013</v>
      </c>
      <c r="M185">
        <f t="shared" si="32"/>
        <v>2013.5</v>
      </c>
      <c r="N185">
        <v>183553.22</v>
      </c>
      <c r="O185">
        <f t="shared" si="33"/>
        <v>146842.576</v>
      </c>
      <c r="P185">
        <f t="shared" si="34"/>
        <v>1748.1259047619048</v>
      </c>
      <c r="Q185">
        <f t="shared" si="35"/>
        <v>20977.510857142857</v>
      </c>
      <c r="R185">
        <f t="shared" si="36"/>
        <v>0</v>
      </c>
      <c r="S185">
        <f t="shared" si="37"/>
        <v>183553.22</v>
      </c>
      <c r="T185">
        <f t="shared" si="38"/>
        <v>146842.576</v>
      </c>
      <c r="U185">
        <f t="shared" si="39"/>
        <v>0</v>
      </c>
      <c r="X185" t="s">
        <v>428</v>
      </c>
    </row>
    <row r="186" spans="1:24">
      <c r="A186" t="s">
        <v>36</v>
      </c>
      <c r="C186">
        <v>3583</v>
      </c>
      <c r="D186" t="s">
        <v>327</v>
      </c>
      <c r="G186">
        <v>2006</v>
      </c>
      <c r="H186">
        <v>9</v>
      </c>
      <c r="I186">
        <v>0.2</v>
      </c>
      <c r="J186" t="s">
        <v>30</v>
      </c>
      <c r="K186">
        <v>7</v>
      </c>
      <c r="L186">
        <f t="shared" si="31"/>
        <v>2013</v>
      </c>
      <c r="M186">
        <f t="shared" si="32"/>
        <v>2013.75</v>
      </c>
      <c r="N186">
        <v>3949.44</v>
      </c>
      <c r="O186">
        <f t="shared" si="33"/>
        <v>3159.5520000000001</v>
      </c>
      <c r="P186">
        <f t="shared" si="34"/>
        <v>37.613714285714288</v>
      </c>
      <c r="Q186">
        <f t="shared" si="35"/>
        <v>451.36457142857148</v>
      </c>
      <c r="R186">
        <f t="shared" si="36"/>
        <v>0</v>
      </c>
      <c r="S186">
        <f t="shared" si="37"/>
        <v>3949.44</v>
      </c>
      <c r="T186">
        <f t="shared" si="38"/>
        <v>3159.5520000000001</v>
      </c>
      <c r="U186">
        <f t="shared" si="39"/>
        <v>0</v>
      </c>
      <c r="X186" t="s">
        <v>428</v>
      </c>
    </row>
    <row r="187" spans="1:24">
      <c r="D187" t="s">
        <v>446</v>
      </c>
      <c r="E187" t="s">
        <v>445</v>
      </c>
      <c r="G187">
        <v>2006</v>
      </c>
      <c r="H187">
        <v>12</v>
      </c>
      <c r="I187">
        <v>0</v>
      </c>
      <c r="J187" t="s">
        <v>30</v>
      </c>
      <c r="K187">
        <v>5</v>
      </c>
      <c r="L187">
        <f t="shared" si="31"/>
        <v>2011</v>
      </c>
      <c r="M187">
        <f t="shared" si="32"/>
        <v>2012</v>
      </c>
      <c r="N187">
        <f>(9918.49+20060.36+141742.3)*11/36</f>
        <v>52470.351388888885</v>
      </c>
      <c r="O187">
        <f t="shared" si="33"/>
        <v>52470.351388888885</v>
      </c>
      <c r="P187">
        <f t="shared" si="34"/>
        <v>874.50585648148137</v>
      </c>
      <c r="Q187">
        <f t="shared" si="35"/>
        <v>10494.070277777777</v>
      </c>
      <c r="R187">
        <f t="shared" si="36"/>
        <v>0</v>
      </c>
      <c r="S187">
        <f t="shared" si="37"/>
        <v>52470.351388888885</v>
      </c>
      <c r="T187">
        <f t="shared" si="38"/>
        <v>52470.351388888885</v>
      </c>
      <c r="U187">
        <f t="shared" si="39"/>
        <v>0</v>
      </c>
      <c r="X187" t="s">
        <v>428</v>
      </c>
    </row>
    <row r="188" spans="1:24">
      <c r="A188" t="s">
        <v>36</v>
      </c>
      <c r="D188" t="s">
        <v>442</v>
      </c>
      <c r="E188" t="s">
        <v>443</v>
      </c>
      <c r="F188" t="s">
        <v>372</v>
      </c>
      <c r="G188">
        <v>2009</v>
      </c>
      <c r="H188">
        <v>7</v>
      </c>
      <c r="I188">
        <v>0</v>
      </c>
      <c r="J188" t="s">
        <v>30</v>
      </c>
      <c r="K188">
        <v>5</v>
      </c>
      <c r="L188">
        <f t="shared" si="31"/>
        <v>2014</v>
      </c>
      <c r="M188">
        <f t="shared" si="32"/>
        <v>2014.5833333333333</v>
      </c>
      <c r="N188">
        <f>(6722.48+38653.29+641.31+1194.22+14225.95)*12/61</f>
        <v>12086.016393442624</v>
      </c>
      <c r="O188">
        <f t="shared" si="33"/>
        <v>12086.016393442624</v>
      </c>
      <c r="P188">
        <f t="shared" si="34"/>
        <v>201.43360655737706</v>
      </c>
      <c r="Q188">
        <f t="shared" si="35"/>
        <v>2417.2032786885247</v>
      </c>
      <c r="R188">
        <f t="shared" si="36"/>
        <v>0</v>
      </c>
      <c r="S188">
        <f t="shared" si="37"/>
        <v>12086.016393442624</v>
      </c>
      <c r="T188">
        <f t="shared" si="38"/>
        <v>12086.016393442624</v>
      </c>
      <c r="U188">
        <f t="shared" si="39"/>
        <v>0</v>
      </c>
    </row>
    <row r="189" spans="1:24">
      <c r="D189" t="s">
        <v>448</v>
      </c>
      <c r="E189" t="s">
        <v>447</v>
      </c>
      <c r="G189">
        <v>2009</v>
      </c>
      <c r="H189">
        <v>7</v>
      </c>
      <c r="I189">
        <v>0</v>
      </c>
      <c r="J189" t="s">
        <v>30</v>
      </c>
      <c r="K189">
        <v>5</v>
      </c>
      <c r="L189">
        <f t="shared" si="31"/>
        <v>2014</v>
      </c>
      <c r="M189">
        <f t="shared" si="32"/>
        <v>2014.5833333333333</v>
      </c>
      <c r="N189">
        <f>(34912.65+1078.65+10913.06)*11/46</f>
        <v>11216.26</v>
      </c>
      <c r="O189">
        <f t="shared" si="33"/>
        <v>11216.26</v>
      </c>
      <c r="P189">
        <f t="shared" si="34"/>
        <v>186.93766666666667</v>
      </c>
      <c r="Q189">
        <f t="shared" si="35"/>
        <v>2243.252</v>
      </c>
      <c r="R189">
        <f t="shared" si="36"/>
        <v>0</v>
      </c>
      <c r="S189">
        <f t="shared" si="37"/>
        <v>11216.26</v>
      </c>
      <c r="T189">
        <f t="shared" si="38"/>
        <v>11216.26</v>
      </c>
      <c r="U189">
        <f t="shared" si="39"/>
        <v>0</v>
      </c>
    </row>
    <row r="190" spans="1:24">
      <c r="A190" t="s">
        <v>36</v>
      </c>
      <c r="D190" t="s">
        <v>377</v>
      </c>
      <c r="E190">
        <v>75160</v>
      </c>
      <c r="F190" t="s">
        <v>372</v>
      </c>
      <c r="G190">
        <v>2010</v>
      </c>
      <c r="H190">
        <v>6</v>
      </c>
      <c r="I190">
        <v>0</v>
      </c>
      <c r="J190" t="s">
        <v>30</v>
      </c>
      <c r="K190">
        <v>5</v>
      </c>
      <c r="L190">
        <f t="shared" si="31"/>
        <v>2015</v>
      </c>
      <c r="M190">
        <f t="shared" si="32"/>
        <v>2015.5</v>
      </c>
      <c r="N190">
        <f>16772.32*12/61</f>
        <v>3299.472786885246</v>
      </c>
      <c r="O190">
        <f t="shared" si="33"/>
        <v>3299.472786885246</v>
      </c>
      <c r="P190">
        <f t="shared" si="34"/>
        <v>54.991213114754096</v>
      </c>
      <c r="Q190">
        <f t="shared" si="35"/>
        <v>659.89455737704918</v>
      </c>
      <c r="R190">
        <f t="shared" si="36"/>
        <v>0</v>
      </c>
      <c r="S190">
        <f t="shared" si="37"/>
        <v>3299.472786885246</v>
      </c>
      <c r="T190">
        <f>+IF(R190=0,S190,S190+R190)-(N190-O190)</f>
        <v>3299.472786885246</v>
      </c>
      <c r="U190">
        <f t="shared" si="39"/>
        <v>0</v>
      </c>
    </row>
    <row r="191" spans="1:24">
      <c r="C191">
        <v>3637</v>
      </c>
      <c r="D191" t="s">
        <v>747</v>
      </c>
      <c r="E191">
        <v>117555</v>
      </c>
      <c r="G191">
        <v>2014</v>
      </c>
      <c r="H191">
        <v>10</v>
      </c>
      <c r="I191">
        <v>0</v>
      </c>
      <c r="J191" t="s">
        <v>30</v>
      </c>
      <c r="K191">
        <v>5</v>
      </c>
      <c r="L191">
        <f t="shared" si="31"/>
        <v>2019</v>
      </c>
      <c r="M191">
        <f t="shared" si="32"/>
        <v>2019.8333333333333</v>
      </c>
      <c r="N191">
        <v>16407.5</v>
      </c>
      <c r="O191">
        <f t="shared" si="33"/>
        <v>16407.5</v>
      </c>
      <c r="P191">
        <f t="shared" si="34"/>
        <v>273.45833333333331</v>
      </c>
      <c r="Q191">
        <f t="shared" si="35"/>
        <v>3281.5</v>
      </c>
      <c r="R191">
        <f t="shared" si="36"/>
        <v>3281.5</v>
      </c>
      <c r="S191">
        <f t="shared" si="37"/>
        <v>9844.5</v>
      </c>
      <c r="T191">
        <f t="shared" si="38"/>
        <v>13126</v>
      </c>
      <c r="U191">
        <f t="shared" si="39"/>
        <v>4922.25</v>
      </c>
    </row>
    <row r="192" spans="1:24">
      <c r="C192">
        <v>3578</v>
      </c>
      <c r="D192" t="s">
        <v>751</v>
      </c>
      <c r="E192">
        <v>120991</v>
      </c>
      <c r="G192">
        <v>2015</v>
      </c>
      <c r="H192">
        <v>2</v>
      </c>
      <c r="I192">
        <v>0</v>
      </c>
      <c r="J192" t="s">
        <v>30</v>
      </c>
      <c r="K192">
        <v>3</v>
      </c>
      <c r="L192">
        <f t="shared" si="31"/>
        <v>2018</v>
      </c>
      <c r="M192">
        <f t="shared" si="32"/>
        <v>2018.1666666666667</v>
      </c>
      <c r="N192">
        <v>7629.49</v>
      </c>
      <c r="O192">
        <f t="shared" si="33"/>
        <v>7629.49</v>
      </c>
      <c r="P192">
        <f t="shared" si="34"/>
        <v>211.93027777777777</v>
      </c>
      <c r="Q192">
        <f t="shared" si="35"/>
        <v>2543.1633333333334</v>
      </c>
      <c r="R192">
        <f t="shared" si="36"/>
        <v>2543.1633333333334</v>
      </c>
      <c r="S192">
        <f t="shared" si="37"/>
        <v>5086.3266666666668</v>
      </c>
      <c r="T192">
        <f t="shared" si="38"/>
        <v>7629.49</v>
      </c>
      <c r="U192">
        <f t="shared" si="39"/>
        <v>1271.5816666666665</v>
      </c>
    </row>
    <row r="193" spans="1:24">
      <c r="C193">
        <v>3538</v>
      </c>
      <c r="D193" t="s">
        <v>816</v>
      </c>
      <c r="E193">
        <v>129635</v>
      </c>
      <c r="F193">
        <v>66897</v>
      </c>
      <c r="G193">
        <v>2016</v>
      </c>
      <c r="H193">
        <v>1</v>
      </c>
      <c r="I193">
        <v>0</v>
      </c>
      <c r="J193" t="s">
        <v>30</v>
      </c>
      <c r="K193">
        <v>3</v>
      </c>
      <c r="L193">
        <f>G193+K193</f>
        <v>2019</v>
      </c>
      <c r="M193">
        <f t="shared" si="32"/>
        <v>2019.0833333333333</v>
      </c>
      <c r="N193">
        <v>15048.63</v>
      </c>
      <c r="O193">
        <f t="shared" si="33"/>
        <v>15048.63</v>
      </c>
      <c r="P193">
        <f t="shared" si="34"/>
        <v>418.01749999999998</v>
      </c>
      <c r="Q193">
        <f t="shared" si="35"/>
        <v>5016.21</v>
      </c>
      <c r="R193">
        <f t="shared" si="36"/>
        <v>5016.21</v>
      </c>
      <c r="S193">
        <f t="shared" si="37"/>
        <v>5016.21</v>
      </c>
      <c r="T193">
        <f t="shared" si="38"/>
        <v>10032.42</v>
      </c>
      <c r="U193">
        <f t="shared" si="39"/>
        <v>7524.3149999999987</v>
      </c>
    </row>
    <row r="194" spans="1:24">
      <c r="D194" t="s">
        <v>871</v>
      </c>
      <c r="E194">
        <v>183284</v>
      </c>
      <c r="F194">
        <v>181935</v>
      </c>
      <c r="G194">
        <v>2017</v>
      </c>
      <c r="H194">
        <v>6</v>
      </c>
      <c r="I194">
        <v>0</v>
      </c>
      <c r="J194" t="s">
        <v>30</v>
      </c>
      <c r="K194">
        <v>10</v>
      </c>
      <c r="L194">
        <f>G194+K194</f>
        <v>2027</v>
      </c>
      <c r="M194">
        <f t="shared" si="32"/>
        <v>2027.5</v>
      </c>
      <c r="N194">
        <v>8346.19</v>
      </c>
      <c r="O194">
        <f t="shared" si="33"/>
        <v>8346.19</v>
      </c>
      <c r="P194">
        <f t="shared" si="34"/>
        <v>69.55158333333334</v>
      </c>
      <c r="Q194">
        <f t="shared" si="35"/>
        <v>834.61900000000014</v>
      </c>
      <c r="R194">
        <f t="shared" si="36"/>
        <v>834.61900000000014</v>
      </c>
      <c r="S194">
        <f t="shared" si="37"/>
        <v>0</v>
      </c>
      <c r="T194">
        <f t="shared" si="38"/>
        <v>834.61900000000014</v>
      </c>
      <c r="U194">
        <f t="shared" si="39"/>
        <v>7928.8805000000002</v>
      </c>
    </row>
    <row r="196" spans="1:24">
      <c r="L196" t="s">
        <v>434</v>
      </c>
      <c r="N196">
        <f t="shared" ref="N196:U196" si="40">SUM(N179:N195)</f>
        <v>1073739.6989025499</v>
      </c>
      <c r="O196">
        <f t="shared" si="40"/>
        <v>884292.54123588349</v>
      </c>
      <c r="P196">
        <f t="shared" si="40"/>
        <v>11492.07723409012</v>
      </c>
      <c r="Q196">
        <f t="shared" si="40"/>
        <v>137904.92680908143</v>
      </c>
      <c r="R196">
        <f t="shared" si="40"/>
        <v>11675.492333333334</v>
      </c>
      <c r="S196">
        <f t="shared" si="40"/>
        <v>1046254.9255692166</v>
      </c>
      <c r="T196">
        <f t="shared" si="40"/>
        <v>868483.26023588353</v>
      </c>
      <c r="U196">
        <f t="shared" si="40"/>
        <v>21647.027166666667</v>
      </c>
    </row>
    <row r="198" spans="1:24">
      <c r="B198" t="s">
        <v>781</v>
      </c>
    </row>
    <row r="199" spans="1:24">
      <c r="A199" t="s">
        <v>772</v>
      </c>
      <c r="B199" t="s">
        <v>342</v>
      </c>
      <c r="C199">
        <v>3585</v>
      </c>
      <c r="D199" t="s">
        <v>771</v>
      </c>
      <c r="G199">
        <v>2006</v>
      </c>
      <c r="H199">
        <v>1</v>
      </c>
      <c r="I199">
        <v>0.2</v>
      </c>
      <c r="J199" t="s">
        <v>30</v>
      </c>
      <c r="K199">
        <v>7</v>
      </c>
      <c r="L199">
        <f>G199+K199</f>
        <v>2013</v>
      </c>
      <c r="M199">
        <f>+L199+(H199/12)</f>
        <v>2013.0833333333333</v>
      </c>
      <c r="N199">
        <f>174585.06+8338.44</f>
        <v>182923.5</v>
      </c>
      <c r="O199">
        <f>N199-N199*I199</f>
        <v>146338.79999999999</v>
      </c>
      <c r="P199">
        <f>O199/K199/12</f>
        <v>1742.1285714285714</v>
      </c>
      <c r="Q199">
        <f>P199*12</f>
        <v>20905.542857142857</v>
      </c>
      <c r="R199">
        <f>+IF(M199&lt;=$O$6,0,IF(L199&gt;$O$5,Q199,(P199*G199)))</f>
        <v>0</v>
      </c>
      <c r="S199">
        <f>+IF(R199=0,N199,IF($O$5-G199&lt;1,0,(($O$5-G199)*Q199)))</f>
        <v>182923.5</v>
      </c>
      <c r="T199">
        <f>+IF(R199=0,S199,S199+R199)</f>
        <v>182923.5</v>
      </c>
      <c r="U199">
        <f>+IF(R199=0,0,((N199-S199)+(N199-T199))/2)</f>
        <v>0</v>
      </c>
    </row>
    <row r="201" spans="1:24">
      <c r="L201" t="s">
        <v>434</v>
      </c>
      <c r="N201">
        <f t="shared" ref="N201:U201" si="41">SUM(N199:N200)</f>
        <v>182923.5</v>
      </c>
      <c r="O201">
        <f t="shared" si="41"/>
        <v>146338.79999999999</v>
      </c>
      <c r="P201">
        <f t="shared" si="41"/>
        <v>1742.1285714285714</v>
      </c>
      <c r="Q201">
        <f t="shared" si="41"/>
        <v>20905.542857142857</v>
      </c>
      <c r="R201">
        <f t="shared" si="41"/>
        <v>0</v>
      </c>
      <c r="S201">
        <f t="shared" si="41"/>
        <v>182923.5</v>
      </c>
      <c r="T201">
        <f t="shared" si="41"/>
        <v>182923.5</v>
      </c>
      <c r="U201">
        <f t="shared" si="41"/>
        <v>0</v>
      </c>
    </row>
    <row r="203" spans="1:24">
      <c r="B203" t="s">
        <v>435</v>
      </c>
    </row>
    <row r="204" spans="1:24">
      <c r="A204" t="s">
        <v>43</v>
      </c>
      <c r="B204" t="s">
        <v>342</v>
      </c>
      <c r="C204">
        <v>3573</v>
      </c>
      <c r="D204" t="s">
        <v>189</v>
      </c>
      <c r="G204">
        <v>2003</v>
      </c>
      <c r="H204">
        <v>5</v>
      </c>
      <c r="I204">
        <v>0.2</v>
      </c>
      <c r="J204" t="s">
        <v>30</v>
      </c>
      <c r="K204">
        <v>7</v>
      </c>
      <c r="L204">
        <f t="shared" ref="L204:L214" si="42">G204+K204</f>
        <v>2010</v>
      </c>
      <c r="M204">
        <f t="shared" ref="M204:M215" si="43">+L204+(H204/12)</f>
        <v>2010.4166666666667</v>
      </c>
      <c r="N204">
        <v>160627.26999999999</v>
      </c>
      <c r="O204">
        <f t="shared" ref="O204:O215" si="44">N204-N204*I204</f>
        <v>128501.81599999999</v>
      </c>
      <c r="P204">
        <f t="shared" ref="P204:P215" si="45">O204/K204/12</f>
        <v>1529.7835238095238</v>
      </c>
      <c r="Q204">
        <f t="shared" ref="Q204:Q215" si="46">P204*12</f>
        <v>18357.402285714285</v>
      </c>
      <c r="R204">
        <f t="shared" ref="R204:R215" si="47">+IF(M204&lt;=$O$6,0,IF(L204&gt;$O$5,Q204,(P204*G204)))</f>
        <v>0</v>
      </c>
      <c r="S204">
        <f t="shared" ref="S204:S215" si="48">+IF(R204=0,N204,IF($O$5-G204&lt;1,0,(($O$5-G204)*Q204)))</f>
        <v>160627.26999999999</v>
      </c>
      <c r="T204">
        <f t="shared" ref="T204:T215" si="49">+IF(R204=0,S204,S204+R204)-(N204-O204)</f>
        <v>128501.81599999999</v>
      </c>
      <c r="U204">
        <f t="shared" ref="U204:U215" si="50">+IF(R204=0,0,((N204-S204)+(N204-T204))/2)</f>
        <v>0</v>
      </c>
      <c r="X204" t="s">
        <v>428</v>
      </c>
    </row>
    <row r="205" spans="1:24">
      <c r="C205">
        <v>11085</v>
      </c>
      <c r="D205" t="s">
        <v>33</v>
      </c>
      <c r="G205">
        <v>2004</v>
      </c>
      <c r="H205">
        <v>12</v>
      </c>
      <c r="I205">
        <v>0.2</v>
      </c>
      <c r="J205" t="s">
        <v>30</v>
      </c>
      <c r="K205">
        <v>7</v>
      </c>
      <c r="L205">
        <f t="shared" si="42"/>
        <v>2011</v>
      </c>
      <c r="M205">
        <f t="shared" si="43"/>
        <v>2012</v>
      </c>
      <c r="N205">
        <f>154600.26*1/36</f>
        <v>4294.4516666666668</v>
      </c>
      <c r="O205">
        <f t="shared" si="44"/>
        <v>3435.5613333333336</v>
      </c>
      <c r="P205">
        <f t="shared" si="45"/>
        <v>40.89953968253969</v>
      </c>
      <c r="Q205">
        <f t="shared" si="46"/>
        <v>490.7944761904763</v>
      </c>
      <c r="R205">
        <f t="shared" si="47"/>
        <v>0</v>
      </c>
      <c r="S205">
        <f t="shared" si="48"/>
        <v>4294.4516666666668</v>
      </c>
      <c r="T205">
        <f t="shared" si="49"/>
        <v>3435.5613333333336</v>
      </c>
      <c r="U205">
        <f t="shared" si="50"/>
        <v>0</v>
      </c>
      <c r="X205" t="s">
        <v>428</v>
      </c>
    </row>
    <row r="206" spans="1:24">
      <c r="A206" t="s">
        <v>43</v>
      </c>
      <c r="B206" t="s">
        <v>342</v>
      </c>
      <c r="C206">
        <v>3576</v>
      </c>
      <c r="D206" t="s">
        <v>202</v>
      </c>
      <c r="E206">
        <v>66891</v>
      </c>
      <c r="G206">
        <v>2005</v>
      </c>
      <c r="H206">
        <v>3</v>
      </c>
      <c r="I206">
        <v>0.2</v>
      </c>
      <c r="J206" t="s">
        <v>30</v>
      </c>
      <c r="K206">
        <v>7</v>
      </c>
      <c r="L206">
        <f>G206+K206</f>
        <v>2012</v>
      </c>
      <c r="M206">
        <f t="shared" si="43"/>
        <v>2012.25</v>
      </c>
      <c r="N206">
        <v>167573.04999999999</v>
      </c>
      <c r="O206">
        <f t="shared" si="44"/>
        <v>134058.44</v>
      </c>
      <c r="P206">
        <f t="shared" si="45"/>
        <v>1595.9338095238097</v>
      </c>
      <c r="Q206">
        <f t="shared" si="46"/>
        <v>19151.205714285716</v>
      </c>
      <c r="R206">
        <f t="shared" si="47"/>
        <v>0</v>
      </c>
      <c r="S206">
        <f t="shared" si="48"/>
        <v>167573.04999999999</v>
      </c>
      <c r="T206">
        <f t="shared" si="49"/>
        <v>134058.44</v>
      </c>
      <c r="U206">
        <f t="shared" si="50"/>
        <v>0</v>
      </c>
      <c r="X206" t="s">
        <v>428</v>
      </c>
    </row>
    <row r="207" spans="1:24">
      <c r="A207" t="s">
        <v>43</v>
      </c>
      <c r="B207" t="s">
        <v>342</v>
      </c>
      <c r="C207">
        <v>3579</v>
      </c>
      <c r="D207" t="s">
        <v>44</v>
      </c>
      <c r="G207">
        <v>2005</v>
      </c>
      <c r="H207">
        <v>3</v>
      </c>
      <c r="I207">
        <v>0.2</v>
      </c>
      <c r="J207" t="s">
        <v>30</v>
      </c>
      <c r="K207">
        <v>7</v>
      </c>
      <c r="L207">
        <f t="shared" si="42"/>
        <v>2012</v>
      </c>
      <c r="M207">
        <f t="shared" si="43"/>
        <v>2012.25</v>
      </c>
      <c r="N207">
        <v>169989.05</v>
      </c>
      <c r="O207">
        <f t="shared" si="44"/>
        <v>135991.24</v>
      </c>
      <c r="P207">
        <f t="shared" si="45"/>
        <v>1618.9433333333334</v>
      </c>
      <c r="Q207">
        <f t="shared" si="46"/>
        <v>19427.32</v>
      </c>
      <c r="R207">
        <f t="shared" si="47"/>
        <v>0</v>
      </c>
      <c r="S207">
        <f t="shared" si="48"/>
        <v>169989.05</v>
      </c>
      <c r="T207">
        <f t="shared" si="49"/>
        <v>135991.24</v>
      </c>
      <c r="U207">
        <f t="shared" si="50"/>
        <v>0</v>
      </c>
      <c r="X207" t="s">
        <v>428</v>
      </c>
    </row>
    <row r="208" spans="1:24">
      <c r="A208" t="s">
        <v>43</v>
      </c>
      <c r="B208" t="s">
        <v>342</v>
      </c>
      <c r="C208">
        <v>3580</v>
      </c>
      <c r="D208" t="s">
        <v>203</v>
      </c>
      <c r="G208">
        <v>2005</v>
      </c>
      <c r="H208">
        <v>4</v>
      </c>
      <c r="I208">
        <v>0.2</v>
      </c>
      <c r="J208" t="s">
        <v>30</v>
      </c>
      <c r="K208">
        <v>7</v>
      </c>
      <c r="L208">
        <f>G208+K208</f>
        <v>2012</v>
      </c>
      <c r="M208">
        <f t="shared" si="43"/>
        <v>2012.3333333333333</v>
      </c>
      <c r="N208">
        <v>169989.05</v>
      </c>
      <c r="O208">
        <f t="shared" si="44"/>
        <v>135991.24</v>
      </c>
      <c r="P208">
        <f t="shared" si="45"/>
        <v>1618.9433333333334</v>
      </c>
      <c r="Q208">
        <f t="shared" si="46"/>
        <v>19427.32</v>
      </c>
      <c r="R208">
        <f t="shared" si="47"/>
        <v>0</v>
      </c>
      <c r="S208">
        <f t="shared" si="48"/>
        <v>169989.05</v>
      </c>
      <c r="T208">
        <f t="shared" si="49"/>
        <v>135991.24</v>
      </c>
      <c r="U208">
        <f t="shared" si="50"/>
        <v>0</v>
      </c>
      <c r="X208" t="s">
        <v>428</v>
      </c>
    </row>
    <row r="209" spans="1:24">
      <c r="A209" t="s">
        <v>43</v>
      </c>
      <c r="B209" t="s">
        <v>342</v>
      </c>
      <c r="C209">
        <v>3581</v>
      </c>
      <c r="D209" t="s">
        <v>44</v>
      </c>
      <c r="G209">
        <v>2005</v>
      </c>
      <c r="H209">
        <v>5</v>
      </c>
      <c r="I209">
        <v>0.2</v>
      </c>
      <c r="J209" t="s">
        <v>30</v>
      </c>
      <c r="K209">
        <v>7</v>
      </c>
      <c r="L209">
        <f>G209+K209</f>
        <v>2012</v>
      </c>
      <c r="M209">
        <f t="shared" si="43"/>
        <v>2012.4166666666667</v>
      </c>
      <c r="N209">
        <v>169986.46</v>
      </c>
      <c r="O209">
        <f t="shared" si="44"/>
        <v>135989.16800000001</v>
      </c>
      <c r="P209">
        <f t="shared" si="45"/>
        <v>1618.9186666666667</v>
      </c>
      <c r="Q209">
        <f t="shared" si="46"/>
        <v>19427.024000000001</v>
      </c>
      <c r="R209">
        <f t="shared" si="47"/>
        <v>0</v>
      </c>
      <c r="S209">
        <f t="shared" si="48"/>
        <v>169986.46</v>
      </c>
      <c r="T209">
        <f t="shared" si="49"/>
        <v>135989.16800000001</v>
      </c>
      <c r="U209">
        <f t="shared" si="50"/>
        <v>0</v>
      </c>
      <c r="X209" t="s">
        <v>428</v>
      </c>
    </row>
    <row r="210" spans="1:24">
      <c r="D210" t="s">
        <v>446</v>
      </c>
      <c r="E210" t="s">
        <v>445</v>
      </c>
      <c r="G210">
        <v>2006</v>
      </c>
      <c r="H210">
        <v>12</v>
      </c>
      <c r="I210">
        <v>0</v>
      </c>
      <c r="J210" t="s">
        <v>30</v>
      </c>
      <c r="K210">
        <v>5</v>
      </c>
      <c r="L210">
        <f t="shared" si="42"/>
        <v>2011</v>
      </c>
      <c r="M210">
        <f t="shared" si="43"/>
        <v>2012</v>
      </c>
      <c r="N210">
        <f>(9918.49+20060.36+141742.3)*1/36</f>
        <v>4770.031944444444</v>
      </c>
      <c r="O210">
        <f t="shared" si="44"/>
        <v>4770.031944444444</v>
      </c>
      <c r="P210">
        <f t="shared" si="45"/>
        <v>79.500532407407391</v>
      </c>
      <c r="Q210">
        <f t="shared" si="46"/>
        <v>954.00638888888875</v>
      </c>
      <c r="R210">
        <f t="shared" si="47"/>
        <v>0</v>
      </c>
      <c r="S210">
        <f t="shared" si="48"/>
        <v>4770.031944444444</v>
      </c>
      <c r="T210">
        <f t="shared" si="49"/>
        <v>4770.031944444444</v>
      </c>
      <c r="U210">
        <f t="shared" si="50"/>
        <v>0</v>
      </c>
    </row>
    <row r="211" spans="1:24">
      <c r="A211" t="s">
        <v>43</v>
      </c>
      <c r="C211">
        <v>3581</v>
      </c>
      <c r="D211" t="s">
        <v>320</v>
      </c>
      <c r="G211">
        <v>2009</v>
      </c>
      <c r="H211">
        <v>6</v>
      </c>
      <c r="I211">
        <v>0</v>
      </c>
      <c r="J211" t="s">
        <v>30</v>
      </c>
      <c r="K211">
        <v>3</v>
      </c>
      <c r="L211">
        <f>G211+K211</f>
        <v>2012</v>
      </c>
      <c r="M211">
        <f t="shared" si="43"/>
        <v>2012.5</v>
      </c>
      <c r="N211">
        <v>5983.2</v>
      </c>
      <c r="O211">
        <f t="shared" si="44"/>
        <v>5983.2</v>
      </c>
      <c r="P211">
        <f t="shared" si="45"/>
        <v>166.2</v>
      </c>
      <c r="Q211">
        <f t="shared" si="46"/>
        <v>1994.3999999999999</v>
      </c>
      <c r="R211">
        <f t="shared" si="47"/>
        <v>0</v>
      </c>
      <c r="S211">
        <f t="shared" si="48"/>
        <v>5983.2</v>
      </c>
      <c r="T211">
        <f t="shared" si="49"/>
        <v>5983.2</v>
      </c>
      <c r="U211">
        <f t="shared" si="50"/>
        <v>0</v>
      </c>
    </row>
    <row r="212" spans="1:24">
      <c r="D212" t="s">
        <v>442</v>
      </c>
      <c r="E212" t="s">
        <v>443</v>
      </c>
      <c r="F212" t="s">
        <v>372</v>
      </c>
      <c r="G212">
        <v>2009</v>
      </c>
      <c r="H212">
        <v>7</v>
      </c>
      <c r="I212">
        <v>0</v>
      </c>
      <c r="J212" t="s">
        <v>30</v>
      </c>
      <c r="K212">
        <v>5</v>
      </c>
      <c r="L212">
        <f t="shared" si="42"/>
        <v>2014</v>
      </c>
      <c r="M212">
        <f t="shared" si="43"/>
        <v>2014.5833333333333</v>
      </c>
      <c r="N212">
        <f>(6722.48+38653.29+641.31+1194.22+14225.95)*4/61</f>
        <v>4028.6721311475408</v>
      </c>
      <c r="O212">
        <f t="shared" si="44"/>
        <v>4028.6721311475408</v>
      </c>
      <c r="P212">
        <f t="shared" si="45"/>
        <v>67.144535519125682</v>
      </c>
      <c r="Q212">
        <f t="shared" si="46"/>
        <v>805.73442622950824</v>
      </c>
      <c r="R212">
        <f t="shared" si="47"/>
        <v>0</v>
      </c>
      <c r="S212">
        <f t="shared" si="48"/>
        <v>4028.6721311475408</v>
      </c>
      <c r="T212">
        <f t="shared" si="49"/>
        <v>4028.6721311475408</v>
      </c>
      <c r="U212">
        <f t="shared" si="50"/>
        <v>0</v>
      </c>
    </row>
    <row r="213" spans="1:24">
      <c r="D213" t="s">
        <v>448</v>
      </c>
      <c r="E213" t="s">
        <v>447</v>
      </c>
      <c r="G213">
        <v>2009</v>
      </c>
      <c r="H213">
        <v>7</v>
      </c>
      <c r="I213">
        <v>0</v>
      </c>
      <c r="J213" t="s">
        <v>30</v>
      </c>
      <c r="K213">
        <v>5</v>
      </c>
      <c r="L213">
        <f t="shared" si="42"/>
        <v>2014</v>
      </c>
      <c r="M213">
        <f t="shared" si="43"/>
        <v>2014.5833333333333</v>
      </c>
      <c r="N213">
        <f>(34912.65+1078.65+10913.06)*1/46</f>
        <v>1019.66</v>
      </c>
      <c r="O213">
        <f t="shared" si="44"/>
        <v>1019.66</v>
      </c>
      <c r="P213">
        <f t="shared" si="45"/>
        <v>16.994333333333334</v>
      </c>
      <c r="Q213">
        <f t="shared" si="46"/>
        <v>203.93200000000002</v>
      </c>
      <c r="R213">
        <f t="shared" si="47"/>
        <v>0</v>
      </c>
      <c r="S213">
        <f t="shared" si="48"/>
        <v>1019.66</v>
      </c>
      <c r="T213">
        <f t="shared" si="49"/>
        <v>1019.66</v>
      </c>
      <c r="U213">
        <f t="shared" si="50"/>
        <v>0</v>
      </c>
    </row>
    <row r="214" spans="1:24">
      <c r="D214" t="s">
        <v>377</v>
      </c>
      <c r="E214">
        <v>75160</v>
      </c>
      <c r="F214" t="s">
        <v>372</v>
      </c>
      <c r="G214">
        <v>2010</v>
      </c>
      <c r="H214">
        <v>6</v>
      </c>
      <c r="I214">
        <v>0</v>
      </c>
      <c r="J214" t="s">
        <v>30</v>
      </c>
      <c r="K214">
        <v>5</v>
      </c>
      <c r="L214">
        <f t="shared" si="42"/>
        <v>2015</v>
      </c>
      <c r="M214">
        <f t="shared" si="43"/>
        <v>2015.5</v>
      </c>
      <c r="N214">
        <f>16772.32*4/61</f>
        <v>1099.824262295082</v>
      </c>
      <c r="O214">
        <f t="shared" si="44"/>
        <v>1099.824262295082</v>
      </c>
      <c r="P214">
        <f t="shared" si="45"/>
        <v>18.330404371584702</v>
      </c>
      <c r="Q214">
        <f t="shared" si="46"/>
        <v>219.96485245901641</v>
      </c>
      <c r="R214">
        <f t="shared" si="47"/>
        <v>0</v>
      </c>
      <c r="S214">
        <f t="shared" si="48"/>
        <v>1099.824262295082</v>
      </c>
      <c r="T214">
        <f t="shared" si="49"/>
        <v>1099.824262295082</v>
      </c>
      <c r="U214">
        <f t="shared" si="50"/>
        <v>0</v>
      </c>
    </row>
    <row r="215" spans="1:24">
      <c r="A215" t="s">
        <v>36</v>
      </c>
      <c r="C215">
        <v>3576</v>
      </c>
      <c r="D215" t="s">
        <v>721</v>
      </c>
      <c r="E215">
        <v>111599</v>
      </c>
      <c r="F215">
        <v>66891</v>
      </c>
      <c r="G215">
        <v>2014</v>
      </c>
      <c r="H215">
        <v>3</v>
      </c>
      <c r="I215">
        <v>0</v>
      </c>
      <c r="J215" t="s">
        <v>30</v>
      </c>
      <c r="K215">
        <v>3</v>
      </c>
      <c r="L215">
        <f>G215+K215</f>
        <v>2017</v>
      </c>
      <c r="M215">
        <f t="shared" si="43"/>
        <v>2017.25</v>
      </c>
      <c r="N215">
        <v>6019.77</v>
      </c>
      <c r="O215">
        <f t="shared" si="44"/>
        <v>6019.77</v>
      </c>
      <c r="P215">
        <f t="shared" si="45"/>
        <v>167.21583333333334</v>
      </c>
      <c r="Q215">
        <f t="shared" si="46"/>
        <v>2006.5900000000001</v>
      </c>
      <c r="R215">
        <f t="shared" si="47"/>
        <v>0</v>
      </c>
      <c r="S215">
        <f t="shared" si="48"/>
        <v>6019.77</v>
      </c>
      <c r="T215">
        <f t="shared" si="49"/>
        <v>6019.77</v>
      </c>
      <c r="U215">
        <f t="shared" si="50"/>
        <v>0</v>
      </c>
    </row>
    <row r="217" spans="1:24">
      <c r="L217" t="s">
        <v>436</v>
      </c>
      <c r="N217">
        <f t="shared" ref="N217:U217" si="51">SUM(N204:N216)</f>
        <v>865380.49000455358</v>
      </c>
      <c r="O217">
        <f t="shared" si="51"/>
        <v>696888.62367122027</v>
      </c>
      <c r="P217">
        <f t="shared" si="51"/>
        <v>8538.8078453139933</v>
      </c>
      <c r="Q217">
        <f t="shared" si="51"/>
        <v>102465.69414376788</v>
      </c>
      <c r="R217">
        <f t="shared" si="51"/>
        <v>0</v>
      </c>
      <c r="S217">
        <f t="shared" si="51"/>
        <v>865380.49000455358</v>
      </c>
      <c r="T217">
        <f t="shared" si="51"/>
        <v>696888.62367122027</v>
      </c>
      <c r="U217">
        <f t="shared" si="51"/>
        <v>0</v>
      </c>
    </row>
    <row r="219" spans="1:24">
      <c r="B219" t="s">
        <v>477</v>
      </c>
    </row>
    <row r="220" spans="1:24">
      <c r="A220" t="s">
        <v>770</v>
      </c>
      <c r="B220" t="s">
        <v>341</v>
      </c>
      <c r="C220">
        <v>1033</v>
      </c>
      <c r="D220" t="s">
        <v>184</v>
      </c>
      <c r="G220">
        <v>2002</v>
      </c>
      <c r="H220">
        <v>6</v>
      </c>
      <c r="I220">
        <v>0.2</v>
      </c>
      <c r="J220" t="s">
        <v>30</v>
      </c>
      <c r="K220">
        <v>7</v>
      </c>
      <c r="L220">
        <f>G220+K220</f>
        <v>2009</v>
      </c>
      <c r="M220">
        <f>+L220+(H220/12)</f>
        <v>2009.5</v>
      </c>
      <c r="N220">
        <v>101881.5</v>
      </c>
      <c r="O220">
        <f>N220-N220*I220</f>
        <v>81505.2</v>
      </c>
      <c r="P220">
        <f>O220/K220/12</f>
        <v>970.30000000000007</v>
      </c>
      <c r="Q220">
        <f>P220*12</f>
        <v>11643.6</v>
      </c>
      <c r="R220">
        <f>+IF(M220&lt;=$O$6,0,IF(L220&gt;$O$5,Q220,(P220*G220)))</f>
        <v>0</v>
      </c>
      <c r="S220">
        <f>+IF(R220=0,N220,IF($O$5-G220&lt;1,0,(($O$5-G220)*Q220)))</f>
        <v>101881.5</v>
      </c>
      <c r="T220">
        <f>+IF(R220=0,S220,S220+R220)-(N220-O220)</f>
        <v>81505.2</v>
      </c>
      <c r="U220">
        <f>+IF(R220=0,0,((N220-S220)+(N220-T220))/2)</f>
        <v>0</v>
      </c>
      <c r="X220" t="s">
        <v>428</v>
      </c>
    </row>
    <row r="221" spans="1:24">
      <c r="A221" t="s">
        <v>770</v>
      </c>
      <c r="B221" t="s">
        <v>345</v>
      </c>
      <c r="C221">
        <v>2024</v>
      </c>
      <c r="D221" t="s">
        <v>773</v>
      </c>
      <c r="G221">
        <v>2006</v>
      </c>
      <c r="H221">
        <v>6</v>
      </c>
      <c r="I221">
        <v>0.33</v>
      </c>
      <c r="J221" t="s">
        <v>30</v>
      </c>
      <c r="K221">
        <v>5</v>
      </c>
      <c r="L221">
        <f>G221+K221</f>
        <v>2011</v>
      </c>
      <c r="M221">
        <f>+L221+(H221/12)</f>
        <v>2011.5</v>
      </c>
      <c r="N221">
        <f>198107.07+4672.96</f>
        <v>202780.03</v>
      </c>
      <c r="O221">
        <f>N221-N221*I221</f>
        <v>135862.6201</v>
      </c>
      <c r="P221">
        <f>O221/K221/12</f>
        <v>2264.3770016666667</v>
      </c>
      <c r="Q221">
        <f>P221*12</f>
        <v>27172.524020000001</v>
      </c>
      <c r="R221">
        <f>+IF(M221&lt;=$O$6,0,IF(L221&gt;$O$5,Q221,(P221*G221)))</f>
        <v>0</v>
      </c>
      <c r="S221">
        <f>+IF(R221=0,N221,IF($O$5-G221&lt;1,0,(($O$5-G221)*Q221)))</f>
        <v>202780.03</v>
      </c>
      <c r="T221">
        <f>+IF(R221=0,S221,S221+R221)-(N221-O221)</f>
        <v>135862.6201</v>
      </c>
      <c r="U221">
        <f>+IF(R221=0,0,((N221-S221)+(N221-T221))/2)</f>
        <v>0</v>
      </c>
    </row>
    <row r="222" spans="1:24">
      <c r="C222">
        <v>2021</v>
      </c>
      <c r="D222" t="s">
        <v>371</v>
      </c>
      <c r="E222" t="s">
        <v>370</v>
      </c>
      <c r="F222">
        <v>60747</v>
      </c>
      <c r="G222">
        <v>2010</v>
      </c>
      <c r="H222">
        <v>1</v>
      </c>
      <c r="I222">
        <v>0</v>
      </c>
      <c r="J222" t="s">
        <v>30</v>
      </c>
      <c r="K222">
        <v>3</v>
      </c>
      <c r="L222">
        <f>G222+K222</f>
        <v>2013</v>
      </c>
      <c r="M222">
        <f>+L222+(H222/12)</f>
        <v>2013.0833333333333</v>
      </c>
      <c r="N222">
        <v>10491.67</v>
      </c>
      <c r="O222">
        <f>N222-N222*I222</f>
        <v>10491.67</v>
      </c>
      <c r="P222">
        <f>O222/K222/12</f>
        <v>291.4352777777778</v>
      </c>
      <c r="Q222">
        <f>P222*12</f>
        <v>3497.2233333333334</v>
      </c>
      <c r="R222">
        <f>+IF(M222&lt;=$O$6,0,IF(L222&gt;$O$5,Q222,(P222*G222)))</f>
        <v>0</v>
      </c>
      <c r="S222">
        <f>+IF(R222=0,N222,IF($O$5-G222&lt;1,0,(($O$5-G222)*Q222)))</f>
        <v>10491.67</v>
      </c>
      <c r="T222">
        <f>+IF(R222=0,S222,S222+R222)-(N222-O222)</f>
        <v>10491.67</v>
      </c>
      <c r="U222">
        <f>+IF(R222=0,0,((N222-S222)+(N222-T222))/2)</f>
        <v>0</v>
      </c>
    </row>
    <row r="223" spans="1:24">
      <c r="B223" t="s">
        <v>341</v>
      </c>
      <c r="C223">
        <v>1033</v>
      </c>
      <c r="D223" t="s">
        <v>375</v>
      </c>
      <c r="E223">
        <v>73806</v>
      </c>
      <c r="F223" t="s">
        <v>376</v>
      </c>
      <c r="G223">
        <v>2010</v>
      </c>
      <c r="H223">
        <v>5</v>
      </c>
      <c r="I223">
        <v>0</v>
      </c>
      <c r="J223" t="s">
        <v>30</v>
      </c>
      <c r="K223">
        <v>3</v>
      </c>
      <c r="L223">
        <f>G223+K223</f>
        <v>2013</v>
      </c>
      <c r="M223">
        <f>+L223+(H223/12)</f>
        <v>2013.4166666666667</v>
      </c>
      <c r="N223">
        <v>12083.88</v>
      </c>
      <c r="O223">
        <f>N223-N223*I223</f>
        <v>12083.88</v>
      </c>
      <c r="P223">
        <f>O223/K223/12</f>
        <v>335.6633333333333</v>
      </c>
      <c r="Q223">
        <f>P223*12</f>
        <v>4027.9599999999996</v>
      </c>
      <c r="R223">
        <f>+IF(M223&lt;=$O$6,0,IF(L223&gt;$O$5,Q223,(P223*G223)))</f>
        <v>0</v>
      </c>
      <c r="S223">
        <f>+IF(R223=0,N223,IF($O$5-G223&lt;1,0,(($O$5-G223)*Q223)))</f>
        <v>12083.88</v>
      </c>
      <c r="T223">
        <f>+IF(R223=0,S223,S223+R223)-(N223-O223)</f>
        <v>12083.88</v>
      </c>
      <c r="U223">
        <f>+IF(R223=0,0,((N223-S223)+(N223-T223))/2)</f>
        <v>0</v>
      </c>
    </row>
    <row r="225" spans="1:24">
      <c r="L225" t="s">
        <v>698</v>
      </c>
      <c r="N225">
        <f t="shared" ref="N225:U225" si="52">SUM(N220:N224)</f>
        <v>327237.08</v>
      </c>
      <c r="O225">
        <f t="shared" si="52"/>
        <v>239943.37010000003</v>
      </c>
      <c r="P225">
        <f t="shared" si="52"/>
        <v>3861.775612777778</v>
      </c>
      <c r="Q225">
        <f t="shared" si="52"/>
        <v>46341.307353333337</v>
      </c>
      <c r="R225">
        <f>SUM(R220:R224)</f>
        <v>0</v>
      </c>
      <c r="S225">
        <f t="shared" si="52"/>
        <v>327237.08</v>
      </c>
      <c r="T225">
        <f t="shared" si="52"/>
        <v>239943.37010000003</v>
      </c>
      <c r="U225">
        <f t="shared" si="52"/>
        <v>0</v>
      </c>
    </row>
    <row r="227" spans="1:24">
      <c r="B227" t="s">
        <v>782</v>
      </c>
    </row>
    <row r="228" spans="1:24">
      <c r="A228" t="s">
        <v>39</v>
      </c>
      <c r="B228" t="s">
        <v>419</v>
      </c>
      <c r="C228">
        <v>8169</v>
      </c>
      <c r="D228" t="s">
        <v>474</v>
      </c>
      <c r="G228">
        <v>1999</v>
      </c>
      <c r="H228">
        <v>4</v>
      </c>
      <c r="I228">
        <v>0.2</v>
      </c>
      <c r="J228" t="s">
        <v>30</v>
      </c>
      <c r="K228">
        <v>7</v>
      </c>
      <c r="L228">
        <f t="shared" ref="L228:L234" si="53">G228+K228</f>
        <v>2006</v>
      </c>
      <c r="M228">
        <f t="shared" ref="M228:M235" si="54">+L228+(H228/12)</f>
        <v>2006.3333333333333</v>
      </c>
      <c r="N228">
        <f>14151.82+313</f>
        <v>14464.82</v>
      </c>
      <c r="O228">
        <f t="shared" ref="O228:O235" si="55">N228-N228*I228</f>
        <v>11571.856</v>
      </c>
      <c r="P228">
        <f t="shared" ref="P228:P235" si="56">O228/K228/12</f>
        <v>137.76019047619047</v>
      </c>
      <c r="Q228">
        <f t="shared" ref="Q228:Q235" si="57">P228*12</f>
        <v>1653.1222857142857</v>
      </c>
      <c r="R228">
        <f t="shared" ref="R228:R235" si="58">+IF(M228&lt;=$O$6,0,IF(L228&gt;$O$5,Q228,(P228*G228)))</f>
        <v>0</v>
      </c>
      <c r="S228">
        <f t="shared" ref="S228:S235" si="59">+IF(R228=0,N228,IF($O$5-G228&lt;1,0,(($O$5-G228)*Q228)))</f>
        <v>14464.82</v>
      </c>
      <c r="T228">
        <f t="shared" ref="T228:T235" si="60">+IF(R228=0,S228,S228+R228)-(N228-O228)</f>
        <v>11571.856</v>
      </c>
      <c r="U228">
        <f t="shared" ref="U228:U235" si="61">+IF(R228=0,0,((N228-S228)+(N228-T228))/2)</f>
        <v>0</v>
      </c>
      <c r="X228" t="s">
        <v>428</v>
      </c>
    </row>
    <row r="229" spans="1:24">
      <c r="A229" t="s">
        <v>34</v>
      </c>
      <c r="B229" t="s">
        <v>353</v>
      </c>
      <c r="C229">
        <v>7030</v>
      </c>
      <c r="D229" t="s">
        <v>483</v>
      </c>
      <c r="G229">
        <v>2006</v>
      </c>
      <c r="H229">
        <v>12</v>
      </c>
      <c r="I229">
        <v>0.2</v>
      </c>
      <c r="J229" t="s">
        <v>30</v>
      </c>
      <c r="K229">
        <v>7</v>
      </c>
      <c r="L229">
        <f t="shared" si="53"/>
        <v>2013</v>
      </c>
      <c r="M229">
        <f t="shared" si="54"/>
        <v>2014</v>
      </c>
      <c r="N229">
        <v>17408</v>
      </c>
      <c r="O229">
        <f t="shared" si="55"/>
        <v>13926.4</v>
      </c>
      <c r="P229">
        <f t="shared" si="56"/>
        <v>165.7904761904762</v>
      </c>
      <c r="Q229">
        <f t="shared" si="57"/>
        <v>1989.4857142857145</v>
      </c>
      <c r="R229">
        <f t="shared" si="58"/>
        <v>0</v>
      </c>
      <c r="S229">
        <f t="shared" si="59"/>
        <v>17408</v>
      </c>
      <c r="T229">
        <f t="shared" si="60"/>
        <v>13926.4</v>
      </c>
      <c r="U229">
        <f t="shared" si="61"/>
        <v>0</v>
      </c>
    </row>
    <row r="230" spans="1:24">
      <c r="A230" t="s">
        <v>34</v>
      </c>
      <c r="B230" t="s">
        <v>344</v>
      </c>
      <c r="C230">
        <v>9981</v>
      </c>
      <c r="D230" t="s">
        <v>472</v>
      </c>
      <c r="G230">
        <v>2007</v>
      </c>
      <c r="H230">
        <v>7</v>
      </c>
      <c r="I230">
        <v>0.33</v>
      </c>
      <c r="J230" t="s">
        <v>30</v>
      </c>
      <c r="K230">
        <v>5</v>
      </c>
      <c r="L230">
        <f t="shared" si="53"/>
        <v>2012</v>
      </c>
      <c r="M230">
        <f t="shared" si="54"/>
        <v>2012.5833333333333</v>
      </c>
      <c r="N230">
        <v>29920</v>
      </c>
      <c r="O230">
        <f t="shared" si="55"/>
        <v>20046.400000000001</v>
      </c>
      <c r="P230">
        <f t="shared" si="56"/>
        <v>334.10666666666668</v>
      </c>
      <c r="Q230">
        <f t="shared" si="57"/>
        <v>4009.28</v>
      </c>
      <c r="R230">
        <f t="shared" si="58"/>
        <v>0</v>
      </c>
      <c r="S230">
        <f t="shared" si="59"/>
        <v>29920</v>
      </c>
      <c r="T230">
        <f t="shared" si="60"/>
        <v>20046.400000000001</v>
      </c>
      <c r="U230">
        <f t="shared" si="61"/>
        <v>0</v>
      </c>
    </row>
    <row r="231" spans="1:24">
      <c r="A231" t="s">
        <v>34</v>
      </c>
      <c r="B231" t="s">
        <v>345</v>
      </c>
      <c r="C231">
        <v>2030</v>
      </c>
      <c r="D231" t="s">
        <v>55</v>
      </c>
      <c r="G231">
        <v>2007</v>
      </c>
      <c r="H231">
        <v>7</v>
      </c>
      <c r="I231">
        <v>0.2</v>
      </c>
      <c r="J231" t="s">
        <v>30</v>
      </c>
      <c r="K231">
        <v>7</v>
      </c>
      <c r="L231">
        <f>G231+K231</f>
        <v>2014</v>
      </c>
      <c r="M231">
        <f t="shared" si="54"/>
        <v>2014.5833333333333</v>
      </c>
      <c r="N231">
        <v>215572.44</v>
      </c>
      <c r="O231">
        <f t="shared" si="55"/>
        <v>172457.95199999999</v>
      </c>
      <c r="P231">
        <f t="shared" si="56"/>
        <v>2053.0708571428572</v>
      </c>
      <c r="Q231">
        <f t="shared" si="57"/>
        <v>24636.850285714288</v>
      </c>
      <c r="R231">
        <f t="shared" si="58"/>
        <v>0</v>
      </c>
      <c r="S231">
        <f t="shared" si="59"/>
        <v>215572.44</v>
      </c>
      <c r="T231">
        <f t="shared" si="60"/>
        <v>172457.95199999999</v>
      </c>
      <c r="U231">
        <f t="shared" si="61"/>
        <v>0</v>
      </c>
      <c r="X231" t="s">
        <v>428</v>
      </c>
    </row>
    <row r="232" spans="1:24">
      <c r="A232" t="s">
        <v>161</v>
      </c>
      <c r="B232" t="s">
        <v>344</v>
      </c>
      <c r="C232">
        <v>9984</v>
      </c>
      <c r="D232" t="s">
        <v>473</v>
      </c>
      <c r="E232">
        <v>72658</v>
      </c>
      <c r="F232" t="s">
        <v>372</v>
      </c>
      <c r="G232">
        <v>2010</v>
      </c>
      <c r="H232">
        <v>1</v>
      </c>
      <c r="I232">
        <v>0.33</v>
      </c>
      <c r="J232" t="s">
        <v>30</v>
      </c>
      <c r="K232">
        <v>5</v>
      </c>
      <c r="L232">
        <f t="shared" si="53"/>
        <v>2015</v>
      </c>
      <c r="M232">
        <f t="shared" si="54"/>
        <v>2015.0833333333333</v>
      </c>
      <c r="N232">
        <v>46051.39</v>
      </c>
      <c r="O232">
        <f t="shared" si="55"/>
        <v>30854.431299999997</v>
      </c>
      <c r="P232">
        <f t="shared" si="56"/>
        <v>514.24052166666661</v>
      </c>
      <c r="Q232">
        <f t="shared" si="57"/>
        <v>6170.8862599999993</v>
      </c>
      <c r="R232">
        <f t="shared" si="58"/>
        <v>0</v>
      </c>
      <c r="S232">
        <f t="shared" si="59"/>
        <v>46051.39</v>
      </c>
      <c r="T232">
        <f t="shared" si="60"/>
        <v>30854.431299999997</v>
      </c>
      <c r="U232">
        <f t="shared" si="61"/>
        <v>0</v>
      </c>
    </row>
    <row r="233" spans="1:24">
      <c r="A233" t="s">
        <v>34</v>
      </c>
      <c r="B233" t="s">
        <v>623</v>
      </c>
      <c r="C233">
        <v>2038</v>
      </c>
      <c r="D233" t="s">
        <v>624</v>
      </c>
      <c r="E233" t="s">
        <v>657</v>
      </c>
      <c r="G233">
        <v>2012</v>
      </c>
      <c r="H233">
        <v>3</v>
      </c>
      <c r="I233">
        <v>0.33</v>
      </c>
      <c r="J233" t="s">
        <v>30</v>
      </c>
      <c r="K233">
        <v>5</v>
      </c>
      <c r="L233">
        <f>G233+K233</f>
        <v>2017</v>
      </c>
      <c r="M233">
        <f t="shared" si="54"/>
        <v>2017.25</v>
      </c>
      <c r="N233">
        <f>244600+23417</f>
        <v>268017</v>
      </c>
      <c r="O233">
        <f t="shared" si="55"/>
        <v>179571.39</v>
      </c>
      <c r="P233">
        <f t="shared" si="56"/>
        <v>2992.8565000000003</v>
      </c>
      <c r="Q233">
        <f t="shared" si="57"/>
        <v>35914.278000000006</v>
      </c>
      <c r="R233">
        <f t="shared" si="58"/>
        <v>0</v>
      </c>
      <c r="S233">
        <f t="shared" si="59"/>
        <v>268017</v>
      </c>
      <c r="T233">
        <f t="shared" si="60"/>
        <v>179571.39</v>
      </c>
      <c r="U233">
        <f t="shared" si="61"/>
        <v>0</v>
      </c>
    </row>
    <row r="234" spans="1:24">
      <c r="A234" t="s">
        <v>34</v>
      </c>
      <c r="B234" t="s">
        <v>345</v>
      </c>
      <c r="C234">
        <v>2014</v>
      </c>
      <c r="D234" t="s">
        <v>726</v>
      </c>
      <c r="E234" t="s">
        <v>725</v>
      </c>
      <c r="F234">
        <v>90561</v>
      </c>
      <c r="G234">
        <v>2014</v>
      </c>
      <c r="H234">
        <v>8</v>
      </c>
      <c r="I234">
        <v>0</v>
      </c>
      <c r="J234" t="s">
        <v>30</v>
      </c>
      <c r="K234">
        <v>3</v>
      </c>
      <c r="L234">
        <f t="shared" si="53"/>
        <v>2017</v>
      </c>
      <c r="M234">
        <f t="shared" si="54"/>
        <v>2017.6666666666667</v>
      </c>
      <c r="N234">
        <f>27837.41+4073.63</f>
        <v>31911.040000000001</v>
      </c>
      <c r="O234">
        <f t="shared" si="55"/>
        <v>31911.040000000001</v>
      </c>
      <c r="P234">
        <f t="shared" si="56"/>
        <v>886.41777777777781</v>
      </c>
      <c r="Q234">
        <f t="shared" si="57"/>
        <v>10637.013333333334</v>
      </c>
      <c r="R234">
        <f t="shared" si="58"/>
        <v>0</v>
      </c>
      <c r="S234">
        <f t="shared" si="59"/>
        <v>31911.040000000001</v>
      </c>
      <c r="T234">
        <f t="shared" si="60"/>
        <v>31911.040000000001</v>
      </c>
      <c r="U234">
        <f t="shared" si="61"/>
        <v>0</v>
      </c>
    </row>
    <row r="235" spans="1:24">
      <c r="B235" t="s">
        <v>341</v>
      </c>
      <c r="C235">
        <v>1075</v>
      </c>
      <c r="D235" t="s">
        <v>860</v>
      </c>
      <c r="E235">
        <v>180930</v>
      </c>
      <c r="G235">
        <v>2011</v>
      </c>
      <c r="H235">
        <v>8</v>
      </c>
      <c r="I235">
        <v>0.2</v>
      </c>
      <c r="J235" t="s">
        <v>30</v>
      </c>
      <c r="K235">
        <v>10</v>
      </c>
      <c r="L235">
        <f>G235+K235</f>
        <v>2021</v>
      </c>
      <c r="M235">
        <f t="shared" si="54"/>
        <v>2021.6666666666667</v>
      </c>
      <c r="N235">
        <v>247726.06</v>
      </c>
      <c r="O235">
        <f t="shared" si="55"/>
        <v>198180.848</v>
      </c>
      <c r="P235">
        <f t="shared" si="56"/>
        <v>1651.5070666666668</v>
      </c>
      <c r="Q235">
        <f t="shared" si="57"/>
        <v>19818.084800000001</v>
      </c>
      <c r="R235">
        <f t="shared" si="58"/>
        <v>19818.084800000001</v>
      </c>
      <c r="S235">
        <f t="shared" si="59"/>
        <v>118908.50880000001</v>
      </c>
      <c r="T235">
        <f t="shared" si="60"/>
        <v>89181.381600000022</v>
      </c>
      <c r="U235">
        <f t="shared" si="61"/>
        <v>143681.11479999998</v>
      </c>
    </row>
    <row r="237" spans="1:24">
      <c r="L237" t="s">
        <v>784</v>
      </c>
      <c r="N237">
        <f t="shared" ref="N237:U237" si="62">SUM(N228:N236)</f>
        <v>871070.75</v>
      </c>
      <c r="O237">
        <f t="shared" si="62"/>
        <v>658520.3173</v>
      </c>
      <c r="P237">
        <f t="shared" si="62"/>
        <v>8735.7500565873015</v>
      </c>
      <c r="Q237">
        <f t="shared" si="62"/>
        <v>104829.00067904762</v>
      </c>
      <c r="R237">
        <f t="shared" si="62"/>
        <v>19818.084800000001</v>
      </c>
      <c r="S237">
        <f t="shared" si="62"/>
        <v>742253.19880000013</v>
      </c>
      <c r="T237">
        <f t="shared" si="62"/>
        <v>549520.85089999996</v>
      </c>
      <c r="U237">
        <f t="shared" si="62"/>
        <v>143681.11479999998</v>
      </c>
    </row>
    <row r="240" spans="1:24">
      <c r="B240" t="s">
        <v>783</v>
      </c>
    </row>
    <row r="241" spans="1:24">
      <c r="A241" t="s">
        <v>36</v>
      </c>
      <c r="B241" t="s">
        <v>341</v>
      </c>
      <c r="C241">
        <v>1026</v>
      </c>
      <c r="D241" t="s">
        <v>479</v>
      </c>
      <c r="G241">
        <v>2000</v>
      </c>
      <c r="H241">
        <v>3</v>
      </c>
      <c r="I241">
        <v>0.2</v>
      </c>
      <c r="J241" t="s">
        <v>30</v>
      </c>
      <c r="K241">
        <v>7</v>
      </c>
      <c r="L241">
        <f t="shared" ref="L241:L250" si="63">G241+K241</f>
        <v>2007</v>
      </c>
      <c r="M241">
        <f t="shared" ref="M241:M250" si="64">+L241+(H241/12)</f>
        <v>2007.25</v>
      </c>
      <c r="N241">
        <f>60270.4+34695.24+3252</f>
        <v>98217.64</v>
      </c>
      <c r="O241">
        <f t="shared" ref="O241:O250" si="65">N241-N241*I241</f>
        <v>78574.111999999994</v>
      </c>
      <c r="P241">
        <f t="shared" ref="P241:P250" si="66">O241/K241/12</f>
        <v>935.40609523809519</v>
      </c>
      <c r="Q241">
        <f t="shared" ref="Q241:Q250" si="67">P241*12</f>
        <v>11224.873142857143</v>
      </c>
      <c r="R241">
        <f t="shared" ref="R241:R250" si="68">+IF(M241&lt;=$O$6,0,IF(L241&gt;$O$5,Q241,(P241*G241)))</f>
        <v>0</v>
      </c>
      <c r="S241">
        <f t="shared" ref="S241:S250" si="69">+IF(R241=0,N241,IF($O$5-G241&lt;1,0,(($O$5-G241)*Q241)))</f>
        <v>98217.64</v>
      </c>
      <c r="T241">
        <f t="shared" ref="T241:T250" si="70">+IF(R241=0,S241,S241+R241)-(N241-O241)</f>
        <v>78574.111999999994</v>
      </c>
      <c r="U241">
        <f t="shared" ref="U241:U250" si="71">+IF(R241=0,0,((N241-S241)+(N241-T241))/2)</f>
        <v>0</v>
      </c>
      <c r="X241" t="s">
        <v>428</v>
      </c>
    </row>
    <row r="242" spans="1:24">
      <c r="A242" t="s">
        <v>36</v>
      </c>
      <c r="B242" t="s">
        <v>353</v>
      </c>
      <c r="C242">
        <v>7030</v>
      </c>
      <c r="D242" t="s">
        <v>170</v>
      </c>
      <c r="G242">
        <v>2005</v>
      </c>
      <c r="H242">
        <v>9</v>
      </c>
      <c r="I242">
        <v>0.33</v>
      </c>
      <c r="J242" t="s">
        <v>30</v>
      </c>
      <c r="K242">
        <v>5</v>
      </c>
      <c r="L242">
        <f t="shared" si="63"/>
        <v>2010</v>
      </c>
      <c r="M242">
        <f t="shared" si="64"/>
        <v>2010.75</v>
      </c>
      <c r="N242">
        <v>7616</v>
      </c>
      <c r="O242">
        <f t="shared" si="65"/>
        <v>5102.7199999999993</v>
      </c>
      <c r="P242">
        <f t="shared" si="66"/>
        <v>85.045333333333318</v>
      </c>
      <c r="Q242">
        <f t="shared" si="67"/>
        <v>1020.5439999999999</v>
      </c>
      <c r="R242">
        <f t="shared" si="68"/>
        <v>0</v>
      </c>
      <c r="S242">
        <f t="shared" si="69"/>
        <v>7616</v>
      </c>
      <c r="T242">
        <f t="shared" si="70"/>
        <v>5102.7199999999993</v>
      </c>
      <c r="U242">
        <f t="shared" si="71"/>
        <v>0</v>
      </c>
    </row>
    <row r="243" spans="1:24">
      <c r="A243" t="s">
        <v>36</v>
      </c>
      <c r="B243" t="s">
        <v>341</v>
      </c>
      <c r="C243">
        <v>1053</v>
      </c>
      <c r="D243" t="s">
        <v>56</v>
      </c>
      <c r="G243">
        <v>2007</v>
      </c>
      <c r="H243">
        <v>5</v>
      </c>
      <c r="I243">
        <v>0.2</v>
      </c>
      <c r="J243" t="s">
        <v>30</v>
      </c>
      <c r="K243">
        <v>7</v>
      </c>
      <c r="L243">
        <f t="shared" si="63"/>
        <v>2014</v>
      </c>
      <c r="M243">
        <f t="shared" si="64"/>
        <v>2014.4166666666667</v>
      </c>
      <c r="N243">
        <v>126959.69</v>
      </c>
      <c r="O243">
        <f t="shared" si="65"/>
        <v>101567.75200000001</v>
      </c>
      <c r="P243">
        <f t="shared" si="66"/>
        <v>1209.139904761905</v>
      </c>
      <c r="Q243">
        <f t="shared" si="67"/>
        <v>14509.678857142859</v>
      </c>
      <c r="R243">
        <f t="shared" si="68"/>
        <v>0</v>
      </c>
      <c r="S243">
        <f t="shared" si="69"/>
        <v>126959.69</v>
      </c>
      <c r="T243">
        <f t="shared" si="70"/>
        <v>101567.75200000001</v>
      </c>
      <c r="U243">
        <f t="shared" si="71"/>
        <v>0</v>
      </c>
      <c r="X243" t="s">
        <v>428</v>
      </c>
    </row>
    <row r="244" spans="1:24">
      <c r="A244" t="s">
        <v>36</v>
      </c>
      <c r="B244" t="s">
        <v>341</v>
      </c>
      <c r="C244">
        <v>1055</v>
      </c>
      <c r="D244" t="s">
        <v>57</v>
      </c>
      <c r="G244">
        <v>2007</v>
      </c>
      <c r="H244">
        <v>7</v>
      </c>
      <c r="I244">
        <v>0.2</v>
      </c>
      <c r="J244" t="s">
        <v>30</v>
      </c>
      <c r="K244">
        <v>7</v>
      </c>
      <c r="L244">
        <f t="shared" si="63"/>
        <v>2014</v>
      </c>
      <c r="M244">
        <f t="shared" si="64"/>
        <v>2014.5833333333333</v>
      </c>
      <c r="N244">
        <v>127343.72</v>
      </c>
      <c r="O244">
        <f t="shared" si="65"/>
        <v>101874.976</v>
      </c>
      <c r="P244">
        <f t="shared" si="66"/>
        <v>1212.7973333333332</v>
      </c>
      <c r="Q244">
        <f t="shared" si="67"/>
        <v>14553.567999999999</v>
      </c>
      <c r="R244">
        <f t="shared" si="68"/>
        <v>0</v>
      </c>
      <c r="S244">
        <f t="shared" si="69"/>
        <v>127343.72</v>
      </c>
      <c r="T244">
        <f t="shared" si="70"/>
        <v>101874.976</v>
      </c>
      <c r="U244">
        <f t="shared" si="71"/>
        <v>0</v>
      </c>
      <c r="X244" t="s">
        <v>428</v>
      </c>
    </row>
    <row r="245" spans="1:24">
      <c r="A245" t="s">
        <v>606</v>
      </c>
      <c r="B245" t="s">
        <v>607</v>
      </c>
      <c r="C245">
        <v>7035</v>
      </c>
      <c r="D245" t="s">
        <v>608</v>
      </c>
      <c r="E245">
        <v>87092</v>
      </c>
      <c r="G245">
        <v>2011</v>
      </c>
      <c r="H245">
        <v>9</v>
      </c>
      <c r="I245">
        <v>0.33</v>
      </c>
      <c r="J245" t="s">
        <v>30</v>
      </c>
      <c r="K245">
        <v>7</v>
      </c>
      <c r="L245">
        <f t="shared" si="63"/>
        <v>2018</v>
      </c>
      <c r="M245">
        <f t="shared" si="64"/>
        <v>2018.75</v>
      </c>
      <c r="N245">
        <v>6230.1</v>
      </c>
      <c r="O245">
        <f t="shared" si="65"/>
        <v>4174.1670000000004</v>
      </c>
      <c r="P245">
        <f t="shared" si="66"/>
        <v>49.692464285714294</v>
      </c>
      <c r="Q245">
        <f t="shared" si="67"/>
        <v>596.30957142857153</v>
      </c>
      <c r="R245">
        <f t="shared" si="68"/>
        <v>596.30957142857153</v>
      </c>
      <c r="S245">
        <f t="shared" si="69"/>
        <v>3577.8574285714294</v>
      </c>
      <c r="T245">
        <f t="shared" si="70"/>
        <v>2118.2340000000013</v>
      </c>
      <c r="U245">
        <f t="shared" si="71"/>
        <v>3382.054285714285</v>
      </c>
    </row>
    <row r="246" spans="1:24">
      <c r="A246" t="s">
        <v>606</v>
      </c>
      <c r="B246" t="s">
        <v>623</v>
      </c>
      <c r="C246">
        <v>2039</v>
      </c>
      <c r="D246" t="s">
        <v>633</v>
      </c>
      <c r="E246" t="s">
        <v>634</v>
      </c>
      <c r="G246">
        <v>2012</v>
      </c>
      <c r="H246">
        <v>4</v>
      </c>
      <c r="I246">
        <v>0.33</v>
      </c>
      <c r="J246" t="s">
        <v>30</v>
      </c>
      <c r="K246">
        <v>5</v>
      </c>
      <c r="L246">
        <f t="shared" si="63"/>
        <v>2017</v>
      </c>
      <c r="M246">
        <f t="shared" si="64"/>
        <v>2017.3333333333333</v>
      </c>
      <c r="N246">
        <f>244600+24206-47</f>
        <v>268759</v>
      </c>
      <c r="O246">
        <f t="shared" si="65"/>
        <v>180068.53</v>
      </c>
      <c r="P246">
        <f t="shared" si="66"/>
        <v>3001.1421666666665</v>
      </c>
      <c r="Q246">
        <f t="shared" si="67"/>
        <v>36013.705999999998</v>
      </c>
      <c r="R246">
        <f t="shared" si="68"/>
        <v>0</v>
      </c>
      <c r="S246">
        <f t="shared" si="69"/>
        <v>268759</v>
      </c>
      <c r="T246">
        <f t="shared" si="70"/>
        <v>180068.53</v>
      </c>
      <c r="U246">
        <f t="shared" si="71"/>
        <v>0</v>
      </c>
    </row>
    <row r="247" spans="1:24">
      <c r="D247" t="s">
        <v>650</v>
      </c>
      <c r="E247">
        <v>100113</v>
      </c>
      <c r="G247">
        <v>2012</v>
      </c>
      <c r="H247">
        <v>12</v>
      </c>
      <c r="I247">
        <v>0</v>
      </c>
      <c r="J247" t="s">
        <v>30</v>
      </c>
      <c r="K247">
        <v>5</v>
      </c>
      <c r="L247">
        <f t="shared" si="63"/>
        <v>2017</v>
      </c>
      <c r="M247">
        <f t="shared" si="64"/>
        <v>2018</v>
      </c>
      <c r="N247">
        <v>16556</v>
      </c>
      <c r="O247">
        <f t="shared" si="65"/>
        <v>16556</v>
      </c>
      <c r="P247">
        <f t="shared" si="66"/>
        <v>275.93333333333334</v>
      </c>
      <c r="Q247">
        <f t="shared" si="67"/>
        <v>3311.2</v>
      </c>
      <c r="R247">
        <f t="shared" si="68"/>
        <v>0</v>
      </c>
      <c r="S247">
        <f t="shared" si="69"/>
        <v>16556</v>
      </c>
      <c r="T247">
        <f t="shared" si="70"/>
        <v>16556</v>
      </c>
      <c r="U247">
        <f t="shared" si="71"/>
        <v>0</v>
      </c>
    </row>
    <row r="248" spans="1:24">
      <c r="A248" t="s">
        <v>36</v>
      </c>
      <c r="C248">
        <v>1053</v>
      </c>
      <c r="D248" t="s">
        <v>737</v>
      </c>
      <c r="E248">
        <v>116164</v>
      </c>
      <c r="F248">
        <v>90521</v>
      </c>
      <c r="G248">
        <v>2014</v>
      </c>
      <c r="H248">
        <v>9</v>
      </c>
      <c r="I248">
        <v>0</v>
      </c>
      <c r="J248" t="s">
        <v>30</v>
      </c>
      <c r="K248">
        <v>3</v>
      </c>
      <c r="L248">
        <f t="shared" si="63"/>
        <v>2017</v>
      </c>
      <c r="M248">
        <f t="shared" si="64"/>
        <v>2017.75</v>
      </c>
      <c r="N248">
        <v>28134.68</v>
      </c>
      <c r="O248">
        <f t="shared" si="65"/>
        <v>28134.68</v>
      </c>
      <c r="P248">
        <f t="shared" si="66"/>
        <v>781.51888888888891</v>
      </c>
      <c r="Q248">
        <f t="shared" si="67"/>
        <v>9378.2266666666674</v>
      </c>
      <c r="R248">
        <f t="shared" si="68"/>
        <v>0</v>
      </c>
      <c r="S248">
        <f t="shared" si="69"/>
        <v>28134.68</v>
      </c>
      <c r="T248">
        <f t="shared" si="70"/>
        <v>28134.68</v>
      </c>
      <c r="U248">
        <f t="shared" si="71"/>
        <v>0</v>
      </c>
    </row>
    <row r="249" spans="1:24">
      <c r="D249" t="s">
        <v>738</v>
      </c>
      <c r="E249">
        <v>118545</v>
      </c>
      <c r="G249">
        <v>2014</v>
      </c>
      <c r="H249">
        <v>11</v>
      </c>
      <c r="I249">
        <v>0</v>
      </c>
      <c r="J249" t="s">
        <v>30</v>
      </c>
      <c r="K249">
        <v>3</v>
      </c>
      <c r="L249">
        <f t="shared" si="63"/>
        <v>2017</v>
      </c>
      <c r="M249">
        <f t="shared" si="64"/>
        <v>2017.9166666666667</v>
      </c>
      <c r="N249">
        <v>3066</v>
      </c>
      <c r="O249">
        <f t="shared" si="65"/>
        <v>3066</v>
      </c>
      <c r="P249">
        <f t="shared" si="66"/>
        <v>85.166666666666671</v>
      </c>
      <c r="Q249">
        <f t="shared" si="67"/>
        <v>1022</v>
      </c>
      <c r="R249">
        <f t="shared" si="68"/>
        <v>0</v>
      </c>
      <c r="S249">
        <f t="shared" si="69"/>
        <v>3066</v>
      </c>
      <c r="T249">
        <f t="shared" si="70"/>
        <v>3066</v>
      </c>
      <c r="U249">
        <f t="shared" si="71"/>
        <v>0</v>
      </c>
    </row>
    <row r="250" spans="1:24">
      <c r="A250" t="s">
        <v>36</v>
      </c>
      <c r="C250">
        <v>1055</v>
      </c>
      <c r="D250" t="s">
        <v>737</v>
      </c>
      <c r="E250">
        <v>115960</v>
      </c>
      <c r="F250">
        <v>60775</v>
      </c>
      <c r="G250">
        <v>2014</v>
      </c>
      <c r="H250">
        <v>6</v>
      </c>
      <c r="I250">
        <v>0</v>
      </c>
      <c r="J250" t="s">
        <v>30</v>
      </c>
      <c r="K250">
        <v>3</v>
      </c>
      <c r="L250">
        <f t="shared" si="63"/>
        <v>2017</v>
      </c>
      <c r="M250">
        <f t="shared" si="64"/>
        <v>2017.5</v>
      </c>
      <c r="N250">
        <v>26931.15</v>
      </c>
      <c r="O250">
        <f t="shared" si="65"/>
        <v>26931.15</v>
      </c>
      <c r="P250">
        <f t="shared" si="66"/>
        <v>748.08750000000009</v>
      </c>
      <c r="Q250">
        <f t="shared" si="67"/>
        <v>8977.0500000000011</v>
      </c>
      <c r="R250">
        <f t="shared" si="68"/>
        <v>0</v>
      </c>
      <c r="S250">
        <f t="shared" si="69"/>
        <v>26931.15</v>
      </c>
      <c r="T250">
        <f t="shared" si="70"/>
        <v>26931.15</v>
      </c>
      <c r="U250">
        <f t="shared" si="71"/>
        <v>0</v>
      </c>
    </row>
    <row r="252" spans="1:24">
      <c r="L252" t="s">
        <v>785</v>
      </c>
      <c r="N252">
        <f t="shared" ref="N252:U252" si="72">SUM(N241:N251)</f>
        <v>709813.9800000001</v>
      </c>
      <c r="O252">
        <f t="shared" si="72"/>
        <v>546050.08699999994</v>
      </c>
      <c r="P252">
        <f t="shared" si="72"/>
        <v>8383.9296865079377</v>
      </c>
      <c r="Q252">
        <f t="shared" si="72"/>
        <v>100607.15623809524</v>
      </c>
      <c r="R252">
        <f t="shared" si="72"/>
        <v>596.30957142857153</v>
      </c>
      <c r="S252">
        <f t="shared" si="72"/>
        <v>707161.73742857156</v>
      </c>
      <c r="T252">
        <f t="shared" si="72"/>
        <v>543994.15399999998</v>
      </c>
      <c r="U252">
        <f t="shared" si="72"/>
        <v>3382.054285714285</v>
      </c>
    </row>
    <row r="254" spans="1:24">
      <c r="B254" t="s">
        <v>437</v>
      </c>
    </row>
    <row r="255" spans="1:24">
      <c r="B255" t="s">
        <v>536</v>
      </c>
      <c r="C255">
        <v>5559</v>
      </c>
      <c r="D255" t="s">
        <v>539</v>
      </c>
      <c r="E255">
        <v>86830</v>
      </c>
      <c r="G255">
        <v>1998</v>
      </c>
      <c r="H255">
        <v>8</v>
      </c>
      <c r="I255">
        <v>0.2</v>
      </c>
      <c r="J255" t="s">
        <v>30</v>
      </c>
      <c r="K255">
        <v>7</v>
      </c>
      <c r="L255">
        <f t="shared" ref="L255:L260" si="73">G255+K255</f>
        <v>2005</v>
      </c>
      <c r="M255">
        <f t="shared" ref="M255:M260" si="74">+L255+(H255/12)</f>
        <v>2005.6666666666667</v>
      </c>
      <c r="N255">
        <f>21713.04+7916.49+1571.09</f>
        <v>31200.62</v>
      </c>
      <c r="O255">
        <f t="shared" ref="O255:O260" si="75">N255-N255*I255</f>
        <v>24960.495999999999</v>
      </c>
      <c r="P255">
        <f t="shared" ref="P255:P260" si="76">O255/K255/12</f>
        <v>297.1487619047619</v>
      </c>
      <c r="Q255">
        <f t="shared" ref="Q255:Q260" si="77">P255*12</f>
        <v>3565.785142857143</v>
      </c>
      <c r="R255">
        <f t="shared" ref="R255:R260" si="78">+IF(M255&lt;=$O$6,0,IF(L255&gt;$O$5,Q255,(P255*G255)))</f>
        <v>0</v>
      </c>
      <c r="S255">
        <f t="shared" ref="S255:S260" si="79">+IF(R255=0,N255,IF($O$5-G255&lt;1,0,(($O$5-G255)*Q255)))</f>
        <v>31200.62</v>
      </c>
      <c r="T255">
        <f t="shared" ref="T255:T260" si="80">+IF(R255=0,S255,S255+R255)-(N255-O255)</f>
        <v>24960.495999999999</v>
      </c>
      <c r="U255">
        <f t="shared" ref="U255:U260" si="81">+IF(R255=0,0,((N255-S255)+(N255-T255))/2)</f>
        <v>0</v>
      </c>
    </row>
    <row r="256" spans="1:24">
      <c r="B256" t="s">
        <v>353</v>
      </c>
      <c r="C256">
        <v>7407</v>
      </c>
      <c r="D256" t="s">
        <v>547</v>
      </c>
      <c r="G256">
        <v>2002</v>
      </c>
      <c r="H256">
        <v>3</v>
      </c>
      <c r="I256">
        <v>0.33</v>
      </c>
      <c r="J256" t="s">
        <v>30</v>
      </c>
      <c r="K256">
        <v>5</v>
      </c>
      <c r="L256">
        <f t="shared" si="73"/>
        <v>2007</v>
      </c>
      <c r="M256">
        <f t="shared" si="74"/>
        <v>2007.25</v>
      </c>
      <c r="N256">
        <v>10645.52</v>
      </c>
      <c r="O256">
        <f t="shared" si="75"/>
        <v>7132.4984000000004</v>
      </c>
      <c r="P256">
        <f t="shared" si="76"/>
        <v>118.87497333333334</v>
      </c>
      <c r="Q256">
        <f t="shared" si="77"/>
        <v>1426.4996800000001</v>
      </c>
      <c r="R256">
        <f t="shared" si="78"/>
        <v>0</v>
      </c>
      <c r="S256">
        <f t="shared" si="79"/>
        <v>10645.52</v>
      </c>
      <c r="T256">
        <f t="shared" si="80"/>
        <v>7132.4984000000004</v>
      </c>
      <c r="U256">
        <f t="shared" si="81"/>
        <v>0</v>
      </c>
    </row>
    <row r="257" spans="1:23">
      <c r="B257" t="s">
        <v>551</v>
      </c>
      <c r="C257">
        <v>9960</v>
      </c>
      <c r="D257" t="s">
        <v>552</v>
      </c>
      <c r="G257">
        <v>2006</v>
      </c>
      <c r="H257">
        <v>6</v>
      </c>
      <c r="I257">
        <v>0.33</v>
      </c>
      <c r="J257" t="s">
        <v>30</v>
      </c>
      <c r="K257">
        <v>5</v>
      </c>
      <c r="L257">
        <f t="shared" si="73"/>
        <v>2011</v>
      </c>
      <c r="M257">
        <f t="shared" si="74"/>
        <v>2011.5</v>
      </c>
      <c r="N257">
        <v>12512</v>
      </c>
      <c r="O257">
        <f t="shared" si="75"/>
        <v>8383.0400000000009</v>
      </c>
      <c r="P257">
        <f t="shared" si="76"/>
        <v>139.71733333333336</v>
      </c>
      <c r="Q257">
        <f t="shared" si="77"/>
        <v>1676.6080000000002</v>
      </c>
      <c r="R257">
        <f t="shared" si="78"/>
        <v>0</v>
      </c>
      <c r="S257">
        <f t="shared" si="79"/>
        <v>12512</v>
      </c>
      <c r="T257">
        <f t="shared" si="80"/>
        <v>8383.0400000000009</v>
      </c>
      <c r="U257">
        <f t="shared" si="81"/>
        <v>0</v>
      </c>
    </row>
    <row r="258" spans="1:23">
      <c r="B258" t="s">
        <v>353</v>
      </c>
      <c r="C258">
        <v>7407</v>
      </c>
      <c r="D258" t="s">
        <v>548</v>
      </c>
      <c r="G258">
        <v>2009</v>
      </c>
      <c r="H258">
        <v>5</v>
      </c>
      <c r="I258">
        <v>0</v>
      </c>
      <c r="J258" t="s">
        <v>30</v>
      </c>
      <c r="K258">
        <v>3</v>
      </c>
      <c r="L258">
        <f t="shared" si="73"/>
        <v>2012</v>
      </c>
      <c r="M258">
        <f t="shared" si="74"/>
        <v>2012.4166666666667</v>
      </c>
      <c r="N258">
        <v>10496.91</v>
      </c>
      <c r="O258">
        <f t="shared" si="75"/>
        <v>10496.91</v>
      </c>
      <c r="P258">
        <f t="shared" si="76"/>
        <v>291.58083333333332</v>
      </c>
      <c r="Q258">
        <f t="shared" si="77"/>
        <v>3498.97</v>
      </c>
      <c r="R258">
        <f t="shared" si="78"/>
        <v>0</v>
      </c>
      <c r="S258">
        <f t="shared" si="79"/>
        <v>10496.91</v>
      </c>
      <c r="T258">
        <f t="shared" si="80"/>
        <v>10496.91</v>
      </c>
      <c r="U258">
        <f t="shared" si="81"/>
        <v>0</v>
      </c>
    </row>
    <row r="259" spans="1:23">
      <c r="B259" t="s">
        <v>353</v>
      </c>
      <c r="C259">
        <v>7411</v>
      </c>
      <c r="D259" t="s">
        <v>553</v>
      </c>
      <c r="E259" t="s">
        <v>554</v>
      </c>
      <c r="F259">
        <v>79747</v>
      </c>
      <c r="G259">
        <v>2010</v>
      </c>
      <c r="H259">
        <v>12</v>
      </c>
      <c r="I259">
        <v>0.2</v>
      </c>
      <c r="J259" t="s">
        <v>30</v>
      </c>
      <c r="K259">
        <v>7</v>
      </c>
      <c r="L259">
        <f t="shared" si="73"/>
        <v>2017</v>
      </c>
      <c r="M259">
        <f t="shared" si="74"/>
        <v>2018</v>
      </c>
      <c r="N259">
        <v>169415</v>
      </c>
      <c r="O259">
        <f t="shared" si="75"/>
        <v>135532</v>
      </c>
      <c r="P259">
        <f t="shared" si="76"/>
        <v>1613.4761904761906</v>
      </c>
      <c r="Q259">
        <f t="shared" si="77"/>
        <v>19361.714285714286</v>
      </c>
      <c r="R259">
        <f t="shared" si="78"/>
        <v>0</v>
      </c>
      <c r="S259">
        <f t="shared" si="79"/>
        <v>169415</v>
      </c>
      <c r="T259">
        <f t="shared" si="80"/>
        <v>135532</v>
      </c>
      <c r="U259">
        <f t="shared" si="81"/>
        <v>0</v>
      </c>
    </row>
    <row r="260" spans="1:23">
      <c r="B260" t="s">
        <v>353</v>
      </c>
      <c r="C260">
        <v>7366</v>
      </c>
      <c r="D260" t="s">
        <v>796</v>
      </c>
      <c r="E260">
        <v>125040</v>
      </c>
      <c r="G260">
        <v>2015</v>
      </c>
      <c r="H260">
        <v>7</v>
      </c>
      <c r="I260">
        <v>0.33</v>
      </c>
      <c r="J260" t="s">
        <v>30</v>
      </c>
      <c r="K260">
        <v>5</v>
      </c>
      <c r="L260">
        <f t="shared" si="73"/>
        <v>2020</v>
      </c>
      <c r="M260">
        <f t="shared" si="74"/>
        <v>2020.5833333333333</v>
      </c>
      <c r="N260">
        <v>25833</v>
      </c>
      <c r="O260">
        <f t="shared" si="75"/>
        <v>17308.11</v>
      </c>
      <c r="P260">
        <f t="shared" si="76"/>
        <v>288.46850000000001</v>
      </c>
      <c r="Q260">
        <f t="shared" si="77"/>
        <v>3461.6220000000003</v>
      </c>
      <c r="R260">
        <f t="shared" si="78"/>
        <v>3461.6220000000003</v>
      </c>
      <c r="S260">
        <f t="shared" si="79"/>
        <v>6923.2440000000006</v>
      </c>
      <c r="T260">
        <f t="shared" si="80"/>
        <v>1859.9760000000024</v>
      </c>
      <c r="U260">
        <f t="shared" si="81"/>
        <v>21441.39</v>
      </c>
    </row>
    <row r="262" spans="1:23">
      <c r="L262" t="s">
        <v>438</v>
      </c>
      <c r="N262">
        <f t="shared" ref="N262:U262" si="82">SUM(N255:N261)</f>
        <v>260103.05</v>
      </c>
      <c r="O262">
        <f t="shared" si="82"/>
        <v>203813.05440000002</v>
      </c>
      <c r="P262">
        <f t="shared" si="82"/>
        <v>2749.2665923809527</v>
      </c>
      <c r="Q262">
        <f t="shared" si="82"/>
        <v>32991.199108571433</v>
      </c>
      <c r="R262">
        <f t="shared" si="82"/>
        <v>3461.6220000000003</v>
      </c>
      <c r="S262">
        <f t="shared" si="82"/>
        <v>241193.29399999999</v>
      </c>
      <c r="T262">
        <f t="shared" si="82"/>
        <v>188364.9204</v>
      </c>
      <c r="U262">
        <f t="shared" si="82"/>
        <v>21441.39</v>
      </c>
    </row>
    <row r="264" spans="1:23">
      <c r="B264" t="s">
        <v>484</v>
      </c>
    </row>
    <row r="265" spans="1:23">
      <c r="A265" t="s">
        <v>39</v>
      </c>
      <c r="B265" t="s">
        <v>421</v>
      </c>
      <c r="C265">
        <v>8832</v>
      </c>
      <c r="D265" t="s">
        <v>245</v>
      </c>
      <c r="G265">
        <v>1997</v>
      </c>
      <c r="H265">
        <v>8</v>
      </c>
      <c r="I265">
        <v>0.2</v>
      </c>
      <c r="J265" t="s">
        <v>30</v>
      </c>
      <c r="K265">
        <v>7</v>
      </c>
      <c r="L265">
        <f t="shared" ref="L265:L293" si="83">G265+K265</f>
        <v>2004</v>
      </c>
      <c r="M265">
        <f t="shared" ref="M265:M293" si="84">+L265+(H265/12)</f>
        <v>2004.6666666666667</v>
      </c>
      <c r="N265">
        <v>20475.79</v>
      </c>
      <c r="O265">
        <f t="shared" ref="O265:O293" si="85">N265-N265*I265</f>
        <v>16380.632000000001</v>
      </c>
      <c r="P265">
        <f t="shared" ref="P265:P293" si="86">O265/K265/12</f>
        <v>195.00752380952383</v>
      </c>
      <c r="Q265">
        <f t="shared" ref="Q265:Q293" si="87">P265*12</f>
        <v>2340.090285714286</v>
      </c>
      <c r="R265">
        <f t="shared" ref="R265:R293" si="88">+IF(M265&lt;=$O$6,0,IF(L265&gt;$O$5,Q265,(P265*G265)))</f>
        <v>0</v>
      </c>
      <c r="S265">
        <f t="shared" ref="S265:S293" si="89">+IF(R265=0,N265,IF($O$5-G265&lt;1,0,(($O$5-G265)*Q265)))</f>
        <v>20475.79</v>
      </c>
      <c r="T265">
        <f t="shared" ref="T265:T293" si="90">+IF(R265=0,S265,S265+R265)-(N265-O265)</f>
        <v>16380.632000000001</v>
      </c>
      <c r="U265">
        <f t="shared" ref="U265:U293" si="91">+IF(R265=0,0,((N265-S265)+(N265-T265))/2)</f>
        <v>0</v>
      </c>
      <c r="W265" t="s">
        <v>372</v>
      </c>
    </row>
    <row r="266" spans="1:23">
      <c r="A266" t="s">
        <v>39</v>
      </c>
      <c r="B266" t="s">
        <v>421</v>
      </c>
      <c r="C266">
        <v>8833</v>
      </c>
      <c r="D266" t="s">
        <v>245</v>
      </c>
      <c r="G266">
        <v>1997</v>
      </c>
      <c r="H266">
        <v>8</v>
      </c>
      <c r="I266">
        <v>0.2</v>
      </c>
      <c r="J266" t="s">
        <v>30</v>
      </c>
      <c r="K266">
        <v>7</v>
      </c>
      <c r="L266">
        <f t="shared" si="83"/>
        <v>2004</v>
      </c>
      <c r="M266">
        <f t="shared" si="84"/>
        <v>2004.6666666666667</v>
      </c>
      <c r="N266">
        <v>20475.79</v>
      </c>
      <c r="O266">
        <f t="shared" si="85"/>
        <v>16380.632000000001</v>
      </c>
      <c r="P266">
        <f t="shared" si="86"/>
        <v>195.00752380952383</v>
      </c>
      <c r="Q266">
        <f t="shared" si="87"/>
        <v>2340.090285714286</v>
      </c>
      <c r="R266">
        <f t="shared" si="88"/>
        <v>0</v>
      </c>
      <c r="S266">
        <f t="shared" si="89"/>
        <v>20475.79</v>
      </c>
      <c r="T266">
        <f t="shared" si="90"/>
        <v>16380.632000000001</v>
      </c>
      <c r="U266">
        <f t="shared" si="91"/>
        <v>0</v>
      </c>
      <c r="W266" t="s">
        <v>372</v>
      </c>
    </row>
    <row r="267" spans="1:23">
      <c r="A267" t="s">
        <v>39</v>
      </c>
      <c r="B267" t="s">
        <v>421</v>
      </c>
      <c r="C267">
        <v>8837</v>
      </c>
      <c r="D267" t="s">
        <v>317</v>
      </c>
      <c r="G267">
        <v>1999</v>
      </c>
      <c r="H267">
        <v>1</v>
      </c>
      <c r="I267">
        <v>0.2</v>
      </c>
      <c r="J267" t="s">
        <v>30</v>
      </c>
      <c r="K267">
        <v>7</v>
      </c>
      <c r="L267">
        <f t="shared" si="83"/>
        <v>2006</v>
      </c>
      <c r="M267">
        <f t="shared" si="84"/>
        <v>2006.0833333333333</v>
      </c>
      <c r="N267">
        <v>23650</v>
      </c>
      <c r="O267">
        <f t="shared" si="85"/>
        <v>18920</v>
      </c>
      <c r="P267">
        <f t="shared" si="86"/>
        <v>225.23809523809521</v>
      </c>
      <c r="Q267">
        <f t="shared" si="87"/>
        <v>2702.8571428571427</v>
      </c>
      <c r="R267">
        <f t="shared" si="88"/>
        <v>0</v>
      </c>
      <c r="S267">
        <f t="shared" si="89"/>
        <v>23650</v>
      </c>
      <c r="T267">
        <f t="shared" si="90"/>
        <v>18920</v>
      </c>
      <c r="U267">
        <f t="shared" si="91"/>
        <v>0</v>
      </c>
      <c r="W267" t="s">
        <v>372</v>
      </c>
    </row>
    <row r="268" spans="1:23">
      <c r="A268" t="s">
        <v>39</v>
      </c>
      <c r="B268" t="s">
        <v>421</v>
      </c>
      <c r="C268">
        <v>8855</v>
      </c>
      <c r="D268" t="s">
        <v>247</v>
      </c>
      <c r="G268">
        <v>1999</v>
      </c>
      <c r="H268">
        <v>6</v>
      </c>
      <c r="I268">
        <v>0.2</v>
      </c>
      <c r="J268" t="s">
        <v>30</v>
      </c>
      <c r="K268">
        <v>7</v>
      </c>
      <c r="L268">
        <f t="shared" si="83"/>
        <v>2006</v>
      </c>
      <c r="M268">
        <f t="shared" si="84"/>
        <v>2006.5</v>
      </c>
      <c r="N268">
        <v>26548.2</v>
      </c>
      <c r="O268">
        <f t="shared" si="85"/>
        <v>21238.560000000001</v>
      </c>
      <c r="P268">
        <f t="shared" si="86"/>
        <v>252.84000000000003</v>
      </c>
      <c r="Q268">
        <f t="shared" si="87"/>
        <v>3034.0800000000004</v>
      </c>
      <c r="R268">
        <f t="shared" si="88"/>
        <v>0</v>
      </c>
      <c r="S268">
        <f t="shared" si="89"/>
        <v>26548.2</v>
      </c>
      <c r="T268">
        <f t="shared" si="90"/>
        <v>21238.560000000001</v>
      </c>
      <c r="U268">
        <f t="shared" si="91"/>
        <v>0</v>
      </c>
      <c r="W268" t="s">
        <v>372</v>
      </c>
    </row>
    <row r="269" spans="1:23">
      <c r="A269" t="s">
        <v>52</v>
      </c>
      <c r="B269" t="s">
        <v>421</v>
      </c>
      <c r="C269">
        <v>5565</v>
      </c>
      <c r="D269" t="s">
        <v>90</v>
      </c>
      <c r="G269">
        <v>2000</v>
      </c>
      <c r="H269">
        <v>4</v>
      </c>
      <c r="I269">
        <v>0.2</v>
      </c>
      <c r="J269" t="s">
        <v>30</v>
      </c>
      <c r="K269">
        <v>7</v>
      </c>
      <c r="L269">
        <f t="shared" si="83"/>
        <v>2007</v>
      </c>
      <c r="M269">
        <f t="shared" si="84"/>
        <v>2007.3333333333333</v>
      </c>
      <c r="N269">
        <v>88402.69</v>
      </c>
      <c r="O269">
        <f t="shared" si="85"/>
        <v>70722.152000000002</v>
      </c>
      <c r="P269">
        <f t="shared" si="86"/>
        <v>841.93038095238092</v>
      </c>
      <c r="Q269">
        <f t="shared" si="87"/>
        <v>10103.164571428571</v>
      </c>
      <c r="R269">
        <f t="shared" si="88"/>
        <v>0</v>
      </c>
      <c r="S269">
        <f t="shared" si="89"/>
        <v>88402.69</v>
      </c>
      <c r="T269">
        <f t="shared" si="90"/>
        <v>70722.152000000002</v>
      </c>
      <c r="U269">
        <f t="shared" si="91"/>
        <v>0</v>
      </c>
      <c r="W269" t="s">
        <v>428</v>
      </c>
    </row>
    <row r="270" spans="1:23">
      <c r="A270" t="s">
        <v>52</v>
      </c>
      <c r="B270" t="s">
        <v>421</v>
      </c>
      <c r="C270">
        <v>5567</v>
      </c>
      <c r="D270" t="s">
        <v>89</v>
      </c>
      <c r="G270">
        <v>2000</v>
      </c>
      <c r="H270">
        <v>4</v>
      </c>
      <c r="I270">
        <v>0.2</v>
      </c>
      <c r="J270" t="s">
        <v>30</v>
      </c>
      <c r="K270">
        <v>7</v>
      </c>
      <c r="L270">
        <f t="shared" si="83"/>
        <v>2007</v>
      </c>
      <c r="M270">
        <f t="shared" si="84"/>
        <v>2007.3333333333333</v>
      </c>
      <c r="N270">
        <v>85003.4</v>
      </c>
      <c r="O270">
        <f t="shared" si="85"/>
        <v>68002.720000000001</v>
      </c>
      <c r="P270">
        <f t="shared" si="86"/>
        <v>809.55619047619041</v>
      </c>
      <c r="Q270">
        <f t="shared" si="87"/>
        <v>9714.6742857142854</v>
      </c>
      <c r="R270">
        <f t="shared" si="88"/>
        <v>0</v>
      </c>
      <c r="S270">
        <f t="shared" si="89"/>
        <v>85003.4</v>
      </c>
      <c r="T270">
        <f t="shared" si="90"/>
        <v>68002.720000000001</v>
      </c>
      <c r="U270">
        <f t="shared" si="91"/>
        <v>0</v>
      </c>
      <c r="W270" t="s">
        <v>428</v>
      </c>
    </row>
    <row r="271" spans="1:23">
      <c r="A271" t="s">
        <v>39</v>
      </c>
      <c r="B271" t="s">
        <v>421</v>
      </c>
      <c r="C271">
        <v>8867</v>
      </c>
      <c r="D271" t="s">
        <v>328</v>
      </c>
      <c r="G271">
        <v>2000</v>
      </c>
      <c r="H271">
        <v>5</v>
      </c>
      <c r="I271">
        <v>0.2</v>
      </c>
      <c r="J271" t="s">
        <v>30</v>
      </c>
      <c r="K271">
        <v>7</v>
      </c>
      <c r="L271">
        <f t="shared" si="83"/>
        <v>2007</v>
      </c>
      <c r="M271">
        <f t="shared" si="84"/>
        <v>2007.4166666666667</v>
      </c>
      <c r="N271">
        <v>33350.800000000003</v>
      </c>
      <c r="O271">
        <f t="shared" si="85"/>
        <v>26680.640000000003</v>
      </c>
      <c r="P271">
        <f t="shared" si="86"/>
        <v>317.62666666666672</v>
      </c>
      <c r="Q271">
        <f t="shared" si="87"/>
        <v>3811.5200000000004</v>
      </c>
      <c r="R271">
        <f t="shared" si="88"/>
        <v>0</v>
      </c>
      <c r="S271">
        <f t="shared" si="89"/>
        <v>33350.800000000003</v>
      </c>
      <c r="T271">
        <f t="shared" si="90"/>
        <v>26680.640000000003</v>
      </c>
      <c r="U271">
        <f t="shared" si="91"/>
        <v>0</v>
      </c>
      <c r="W271" t="s">
        <v>372</v>
      </c>
    </row>
    <row r="272" spans="1:23">
      <c r="A272" t="s">
        <v>39</v>
      </c>
      <c r="B272" t="s">
        <v>421</v>
      </c>
      <c r="C272">
        <v>8157</v>
      </c>
      <c r="D272" t="s">
        <v>425</v>
      </c>
      <c r="G272">
        <v>2000</v>
      </c>
      <c r="H272">
        <v>6</v>
      </c>
      <c r="I272">
        <v>0.33</v>
      </c>
      <c r="J272" t="s">
        <v>30</v>
      </c>
      <c r="K272">
        <v>5</v>
      </c>
      <c r="L272">
        <f t="shared" si="83"/>
        <v>2005</v>
      </c>
      <c r="M272">
        <f t="shared" si="84"/>
        <v>2005.5</v>
      </c>
      <c r="N272">
        <v>1355</v>
      </c>
      <c r="O272">
        <f t="shared" si="85"/>
        <v>907.84999999999991</v>
      </c>
      <c r="P272">
        <f t="shared" si="86"/>
        <v>15.130833333333333</v>
      </c>
      <c r="Q272">
        <f t="shared" si="87"/>
        <v>181.57</v>
      </c>
      <c r="R272">
        <f t="shared" si="88"/>
        <v>0</v>
      </c>
      <c r="S272">
        <f t="shared" si="89"/>
        <v>1355</v>
      </c>
      <c r="T272">
        <f t="shared" si="90"/>
        <v>907.84999999999991</v>
      </c>
      <c r="U272">
        <f t="shared" si="91"/>
        <v>0</v>
      </c>
      <c r="W272" t="s">
        <v>372</v>
      </c>
    </row>
    <row r="273" spans="1:23">
      <c r="A273" t="s">
        <v>39</v>
      </c>
      <c r="B273" t="s">
        <v>421</v>
      </c>
      <c r="C273">
        <v>8158</v>
      </c>
      <c r="D273" t="s">
        <v>147</v>
      </c>
      <c r="G273">
        <v>2000</v>
      </c>
      <c r="H273">
        <v>6</v>
      </c>
      <c r="I273">
        <v>0.33</v>
      </c>
      <c r="J273" t="s">
        <v>30</v>
      </c>
      <c r="K273">
        <v>5</v>
      </c>
      <c r="L273">
        <f t="shared" si="83"/>
        <v>2005</v>
      </c>
      <c r="M273">
        <f t="shared" si="84"/>
        <v>2005.5</v>
      </c>
      <c r="N273">
        <v>1355</v>
      </c>
      <c r="O273">
        <f t="shared" si="85"/>
        <v>907.84999999999991</v>
      </c>
      <c r="P273">
        <f t="shared" si="86"/>
        <v>15.130833333333333</v>
      </c>
      <c r="Q273">
        <f t="shared" si="87"/>
        <v>181.57</v>
      </c>
      <c r="R273">
        <f t="shared" si="88"/>
        <v>0</v>
      </c>
      <c r="S273">
        <f t="shared" si="89"/>
        <v>1355</v>
      </c>
      <c r="T273">
        <f t="shared" si="90"/>
        <v>907.84999999999991</v>
      </c>
      <c r="U273">
        <f t="shared" si="91"/>
        <v>0</v>
      </c>
      <c r="W273" t="s">
        <v>372</v>
      </c>
    </row>
    <row r="274" spans="1:23">
      <c r="A274" t="s">
        <v>39</v>
      </c>
      <c r="B274" t="s">
        <v>421</v>
      </c>
      <c r="C274">
        <v>8874</v>
      </c>
      <c r="D274" t="s">
        <v>187</v>
      </c>
      <c r="G274">
        <v>2003</v>
      </c>
      <c r="H274">
        <v>1</v>
      </c>
      <c r="I274">
        <v>0.2</v>
      </c>
      <c r="J274" t="s">
        <v>30</v>
      </c>
      <c r="K274">
        <v>7</v>
      </c>
      <c r="L274">
        <f t="shared" si="83"/>
        <v>2010</v>
      </c>
      <c r="M274">
        <f t="shared" si="84"/>
        <v>2010.0833333333333</v>
      </c>
      <c r="N274">
        <v>40156.480000000003</v>
      </c>
      <c r="O274">
        <f t="shared" si="85"/>
        <v>32125.184000000001</v>
      </c>
      <c r="P274">
        <f t="shared" si="86"/>
        <v>382.44266666666664</v>
      </c>
      <c r="Q274">
        <f t="shared" si="87"/>
        <v>4589.3119999999999</v>
      </c>
      <c r="R274">
        <f t="shared" si="88"/>
        <v>0</v>
      </c>
      <c r="S274">
        <f t="shared" si="89"/>
        <v>40156.480000000003</v>
      </c>
      <c r="T274">
        <f t="shared" si="90"/>
        <v>32125.184000000001</v>
      </c>
      <c r="U274">
        <f t="shared" si="91"/>
        <v>0</v>
      </c>
      <c r="W274" t="s">
        <v>372</v>
      </c>
    </row>
    <row r="275" spans="1:23">
      <c r="A275" t="s">
        <v>39</v>
      </c>
      <c r="B275" t="s">
        <v>421</v>
      </c>
      <c r="C275">
        <v>8875</v>
      </c>
      <c r="D275" t="s">
        <v>186</v>
      </c>
      <c r="G275">
        <v>2003</v>
      </c>
      <c r="H275">
        <v>3</v>
      </c>
      <c r="I275">
        <v>0.2</v>
      </c>
      <c r="J275" t="s">
        <v>30</v>
      </c>
      <c r="K275">
        <v>7</v>
      </c>
      <c r="L275">
        <f t="shared" si="83"/>
        <v>2010</v>
      </c>
      <c r="M275">
        <f t="shared" si="84"/>
        <v>2010.25</v>
      </c>
      <c r="N275">
        <v>40156.480000000003</v>
      </c>
      <c r="O275">
        <f t="shared" si="85"/>
        <v>32125.184000000001</v>
      </c>
      <c r="P275">
        <f t="shared" si="86"/>
        <v>382.44266666666664</v>
      </c>
      <c r="Q275">
        <f t="shared" si="87"/>
        <v>4589.3119999999999</v>
      </c>
      <c r="R275">
        <f t="shared" si="88"/>
        <v>0</v>
      </c>
      <c r="S275">
        <f t="shared" si="89"/>
        <v>40156.480000000003</v>
      </c>
      <c r="T275">
        <f t="shared" si="90"/>
        <v>32125.184000000001</v>
      </c>
      <c r="U275">
        <f t="shared" si="91"/>
        <v>0</v>
      </c>
      <c r="W275" t="s">
        <v>372</v>
      </c>
    </row>
    <row r="276" spans="1:23">
      <c r="A276" t="s">
        <v>39</v>
      </c>
      <c r="B276" t="s">
        <v>421</v>
      </c>
      <c r="C276">
        <v>8876</v>
      </c>
      <c r="D276" t="s">
        <v>186</v>
      </c>
      <c r="G276">
        <v>2003</v>
      </c>
      <c r="H276">
        <v>3</v>
      </c>
      <c r="I276">
        <v>0.2</v>
      </c>
      <c r="J276" t="s">
        <v>30</v>
      </c>
      <c r="K276">
        <v>7</v>
      </c>
      <c r="L276">
        <f t="shared" si="83"/>
        <v>2010</v>
      </c>
      <c r="M276">
        <f t="shared" si="84"/>
        <v>2010.25</v>
      </c>
      <c r="N276">
        <v>40156.480000000003</v>
      </c>
      <c r="O276">
        <f t="shared" si="85"/>
        <v>32125.184000000001</v>
      </c>
      <c r="P276">
        <f t="shared" si="86"/>
        <v>382.44266666666664</v>
      </c>
      <c r="Q276">
        <f t="shared" si="87"/>
        <v>4589.3119999999999</v>
      </c>
      <c r="R276">
        <f t="shared" si="88"/>
        <v>0</v>
      </c>
      <c r="S276">
        <f t="shared" si="89"/>
        <v>40156.480000000003</v>
      </c>
      <c r="T276">
        <f t="shared" si="90"/>
        <v>32125.184000000001</v>
      </c>
      <c r="U276">
        <f t="shared" si="91"/>
        <v>0</v>
      </c>
      <c r="W276" t="s">
        <v>372</v>
      </c>
    </row>
    <row r="277" spans="1:23">
      <c r="A277" t="s">
        <v>39</v>
      </c>
      <c r="B277" t="s">
        <v>421</v>
      </c>
      <c r="C277">
        <v>8879</v>
      </c>
      <c r="D277" t="s">
        <v>192</v>
      </c>
      <c r="G277">
        <v>2004</v>
      </c>
      <c r="H277">
        <v>4</v>
      </c>
      <c r="I277">
        <v>0.2</v>
      </c>
      <c r="J277" t="s">
        <v>30</v>
      </c>
      <c r="K277">
        <v>7</v>
      </c>
      <c r="L277">
        <f t="shared" si="83"/>
        <v>2011</v>
      </c>
      <c r="M277">
        <f t="shared" si="84"/>
        <v>2011.3333333333333</v>
      </c>
      <c r="N277">
        <v>39286.080000000002</v>
      </c>
      <c r="O277">
        <f t="shared" si="85"/>
        <v>31428.864000000001</v>
      </c>
      <c r="P277">
        <f t="shared" si="86"/>
        <v>374.15314285714288</v>
      </c>
      <c r="Q277">
        <f t="shared" si="87"/>
        <v>4489.8377142857144</v>
      </c>
      <c r="R277">
        <f t="shared" si="88"/>
        <v>0</v>
      </c>
      <c r="S277">
        <f t="shared" si="89"/>
        <v>39286.080000000002</v>
      </c>
      <c r="T277">
        <f t="shared" si="90"/>
        <v>31428.864000000001</v>
      </c>
      <c r="U277">
        <f t="shared" si="91"/>
        <v>0</v>
      </c>
      <c r="W277" t="s">
        <v>372</v>
      </c>
    </row>
    <row r="278" spans="1:23">
      <c r="A278" t="s">
        <v>39</v>
      </c>
      <c r="B278" t="s">
        <v>421</v>
      </c>
      <c r="C278">
        <v>8880</v>
      </c>
      <c r="D278" t="s">
        <v>191</v>
      </c>
      <c r="G278">
        <v>2004</v>
      </c>
      <c r="H278">
        <v>4</v>
      </c>
      <c r="I278">
        <v>0.2</v>
      </c>
      <c r="J278" t="s">
        <v>30</v>
      </c>
      <c r="K278">
        <v>7</v>
      </c>
      <c r="L278">
        <f t="shared" si="83"/>
        <v>2011</v>
      </c>
      <c r="M278">
        <f t="shared" si="84"/>
        <v>2011.3333333333333</v>
      </c>
      <c r="N278">
        <v>39286.080000000002</v>
      </c>
      <c r="O278">
        <f t="shared" si="85"/>
        <v>31428.864000000001</v>
      </c>
      <c r="P278">
        <f t="shared" si="86"/>
        <v>374.15314285714288</v>
      </c>
      <c r="Q278">
        <f t="shared" si="87"/>
        <v>4489.8377142857144</v>
      </c>
      <c r="R278">
        <f t="shared" si="88"/>
        <v>0</v>
      </c>
      <c r="S278">
        <f t="shared" si="89"/>
        <v>39286.080000000002</v>
      </c>
      <c r="T278">
        <f t="shared" si="90"/>
        <v>31428.864000000001</v>
      </c>
      <c r="U278">
        <f t="shared" si="91"/>
        <v>0</v>
      </c>
      <c r="W278" t="s">
        <v>372</v>
      </c>
    </row>
    <row r="279" spans="1:23">
      <c r="A279" t="s">
        <v>52</v>
      </c>
      <c r="B279" t="s">
        <v>421</v>
      </c>
      <c r="C279">
        <v>5594</v>
      </c>
      <c r="D279" t="s">
        <v>53</v>
      </c>
      <c r="G279">
        <v>2005</v>
      </c>
      <c r="H279">
        <v>12</v>
      </c>
      <c r="I279">
        <v>0.2</v>
      </c>
      <c r="J279" t="s">
        <v>30</v>
      </c>
      <c r="K279">
        <v>7</v>
      </c>
      <c r="L279">
        <f t="shared" si="83"/>
        <v>2012</v>
      </c>
      <c r="M279">
        <f t="shared" si="84"/>
        <v>2013</v>
      </c>
      <c r="N279">
        <v>97709.84</v>
      </c>
      <c r="O279">
        <f t="shared" si="85"/>
        <v>78167.872000000003</v>
      </c>
      <c r="P279">
        <f t="shared" si="86"/>
        <v>930.5699047619047</v>
      </c>
      <c r="Q279">
        <f t="shared" si="87"/>
        <v>11166.838857142857</v>
      </c>
      <c r="R279">
        <f t="shared" si="88"/>
        <v>0</v>
      </c>
      <c r="S279">
        <f t="shared" si="89"/>
        <v>97709.84</v>
      </c>
      <c r="T279">
        <f t="shared" si="90"/>
        <v>78167.872000000003</v>
      </c>
      <c r="U279">
        <f t="shared" si="91"/>
        <v>0</v>
      </c>
      <c r="W279" t="s">
        <v>428</v>
      </c>
    </row>
    <row r="280" spans="1:23">
      <c r="A280" t="s">
        <v>52</v>
      </c>
      <c r="B280" t="s">
        <v>421</v>
      </c>
      <c r="C280">
        <v>5595</v>
      </c>
      <c r="D280" t="s">
        <v>53</v>
      </c>
      <c r="G280">
        <v>2005</v>
      </c>
      <c r="H280">
        <v>12</v>
      </c>
      <c r="I280">
        <v>0.2</v>
      </c>
      <c r="J280" t="s">
        <v>30</v>
      </c>
      <c r="K280">
        <v>7</v>
      </c>
      <c r="L280">
        <f t="shared" si="83"/>
        <v>2012</v>
      </c>
      <c r="M280">
        <f t="shared" si="84"/>
        <v>2013</v>
      </c>
      <c r="N280">
        <v>97709.84</v>
      </c>
      <c r="O280">
        <f t="shared" si="85"/>
        <v>78167.872000000003</v>
      </c>
      <c r="P280">
        <f t="shared" si="86"/>
        <v>930.5699047619047</v>
      </c>
      <c r="Q280">
        <f t="shared" si="87"/>
        <v>11166.838857142857</v>
      </c>
      <c r="R280">
        <f t="shared" si="88"/>
        <v>0</v>
      </c>
      <c r="S280">
        <f t="shared" si="89"/>
        <v>97709.84</v>
      </c>
      <c r="T280">
        <f t="shared" si="90"/>
        <v>78167.872000000003</v>
      </c>
      <c r="U280">
        <f t="shared" si="91"/>
        <v>0</v>
      </c>
      <c r="W280" t="s">
        <v>428</v>
      </c>
    </row>
    <row r="281" spans="1:23">
      <c r="A281" t="s">
        <v>52</v>
      </c>
      <c r="B281" t="s">
        <v>421</v>
      </c>
      <c r="C281">
        <v>5614</v>
      </c>
      <c r="D281" t="s">
        <v>59</v>
      </c>
      <c r="G281">
        <v>2006</v>
      </c>
      <c r="H281">
        <v>12</v>
      </c>
      <c r="I281">
        <v>0.2</v>
      </c>
      <c r="J281" t="s">
        <v>30</v>
      </c>
      <c r="K281">
        <v>7</v>
      </c>
      <c r="L281">
        <f t="shared" si="83"/>
        <v>2013</v>
      </c>
      <c r="M281">
        <f t="shared" si="84"/>
        <v>2014</v>
      </c>
      <c r="N281">
        <v>107692.76</v>
      </c>
      <c r="O281">
        <f t="shared" si="85"/>
        <v>86154.207999999999</v>
      </c>
      <c r="P281">
        <f t="shared" si="86"/>
        <v>1025.6453333333334</v>
      </c>
      <c r="Q281">
        <f t="shared" si="87"/>
        <v>12307.744000000001</v>
      </c>
      <c r="R281">
        <f t="shared" si="88"/>
        <v>0</v>
      </c>
      <c r="S281">
        <f t="shared" si="89"/>
        <v>107692.76</v>
      </c>
      <c r="T281">
        <f t="shared" si="90"/>
        <v>86154.207999999999</v>
      </c>
      <c r="U281">
        <f t="shared" si="91"/>
        <v>0</v>
      </c>
      <c r="W281" t="s">
        <v>428</v>
      </c>
    </row>
    <row r="282" spans="1:23">
      <c r="A282" t="s">
        <v>52</v>
      </c>
      <c r="B282" t="s">
        <v>421</v>
      </c>
      <c r="C282">
        <v>8030</v>
      </c>
      <c r="D282" t="s">
        <v>544</v>
      </c>
      <c r="G282">
        <v>2006</v>
      </c>
      <c r="H282">
        <v>5</v>
      </c>
      <c r="I282">
        <v>0.33</v>
      </c>
      <c r="J282" t="s">
        <v>30</v>
      </c>
      <c r="K282">
        <v>5</v>
      </c>
      <c r="L282">
        <f>G282+K282</f>
        <v>2011</v>
      </c>
      <c r="M282">
        <f t="shared" si="84"/>
        <v>2011.4166666666667</v>
      </c>
      <c r="N282">
        <v>14213.95</v>
      </c>
      <c r="O282">
        <f t="shared" si="85"/>
        <v>9523.3464999999997</v>
      </c>
      <c r="P282">
        <f t="shared" si="86"/>
        <v>158.72244166666667</v>
      </c>
      <c r="Q282">
        <f t="shared" si="87"/>
        <v>1904.6693</v>
      </c>
      <c r="R282">
        <f t="shared" si="88"/>
        <v>0</v>
      </c>
      <c r="S282">
        <f t="shared" si="89"/>
        <v>14213.95</v>
      </c>
      <c r="T282">
        <f t="shared" si="90"/>
        <v>9523.3464999999997</v>
      </c>
      <c r="U282">
        <f t="shared" si="91"/>
        <v>0</v>
      </c>
    </row>
    <row r="283" spans="1:23">
      <c r="A283" t="s">
        <v>52</v>
      </c>
      <c r="B283" t="s">
        <v>421</v>
      </c>
      <c r="C283">
        <v>5594</v>
      </c>
      <c r="D283" t="s">
        <v>167</v>
      </c>
      <c r="G283">
        <v>2007</v>
      </c>
      <c r="H283">
        <v>1</v>
      </c>
      <c r="I283">
        <v>0</v>
      </c>
      <c r="J283" t="s">
        <v>30</v>
      </c>
      <c r="K283">
        <v>5</v>
      </c>
      <c r="L283">
        <f t="shared" si="83"/>
        <v>2012</v>
      </c>
      <c r="M283">
        <f t="shared" si="84"/>
        <v>2012.0833333333333</v>
      </c>
      <c r="N283">
        <v>744</v>
      </c>
      <c r="O283">
        <f t="shared" si="85"/>
        <v>744</v>
      </c>
      <c r="P283">
        <f t="shared" si="86"/>
        <v>12.4</v>
      </c>
      <c r="Q283">
        <f t="shared" si="87"/>
        <v>148.80000000000001</v>
      </c>
      <c r="R283">
        <f t="shared" si="88"/>
        <v>0</v>
      </c>
      <c r="S283">
        <f t="shared" si="89"/>
        <v>744</v>
      </c>
      <c r="T283">
        <f t="shared" si="90"/>
        <v>744</v>
      </c>
      <c r="U283">
        <f t="shared" si="91"/>
        <v>0</v>
      </c>
      <c r="W283" t="s">
        <v>428</v>
      </c>
    </row>
    <row r="284" spans="1:23">
      <c r="A284" t="s">
        <v>52</v>
      </c>
      <c r="B284" t="s">
        <v>421</v>
      </c>
      <c r="C284">
        <v>5595</v>
      </c>
      <c r="D284" t="s">
        <v>167</v>
      </c>
      <c r="G284">
        <v>2007</v>
      </c>
      <c r="H284">
        <v>1</v>
      </c>
      <c r="I284">
        <v>0</v>
      </c>
      <c r="J284" t="s">
        <v>30</v>
      </c>
      <c r="K284">
        <v>5</v>
      </c>
      <c r="L284">
        <f t="shared" si="83"/>
        <v>2012</v>
      </c>
      <c r="M284">
        <f t="shared" si="84"/>
        <v>2012.0833333333333</v>
      </c>
      <c r="N284">
        <v>744</v>
      </c>
      <c r="O284">
        <f t="shared" si="85"/>
        <v>744</v>
      </c>
      <c r="P284">
        <f t="shared" si="86"/>
        <v>12.4</v>
      </c>
      <c r="Q284">
        <f t="shared" si="87"/>
        <v>148.80000000000001</v>
      </c>
      <c r="R284">
        <f t="shared" si="88"/>
        <v>0</v>
      </c>
      <c r="S284">
        <f t="shared" si="89"/>
        <v>744</v>
      </c>
      <c r="T284">
        <f t="shared" si="90"/>
        <v>744</v>
      </c>
      <c r="U284">
        <f t="shared" si="91"/>
        <v>0</v>
      </c>
      <c r="W284" t="s">
        <v>428</v>
      </c>
    </row>
    <row r="285" spans="1:23">
      <c r="A285" t="s">
        <v>52</v>
      </c>
      <c r="B285" t="s">
        <v>421</v>
      </c>
      <c r="C285">
        <v>5614</v>
      </c>
      <c r="D285" t="s">
        <v>167</v>
      </c>
      <c r="G285">
        <v>2007</v>
      </c>
      <c r="H285">
        <v>1</v>
      </c>
      <c r="I285">
        <v>0</v>
      </c>
      <c r="J285" t="s">
        <v>30</v>
      </c>
      <c r="K285">
        <v>5</v>
      </c>
      <c r="L285">
        <f t="shared" si="83"/>
        <v>2012</v>
      </c>
      <c r="M285">
        <f t="shared" si="84"/>
        <v>2012.0833333333333</v>
      </c>
      <c r="N285">
        <v>1028.8499999999999</v>
      </c>
      <c r="O285">
        <f t="shared" si="85"/>
        <v>1028.8499999999999</v>
      </c>
      <c r="P285">
        <f t="shared" si="86"/>
        <v>17.147499999999997</v>
      </c>
      <c r="Q285">
        <f t="shared" si="87"/>
        <v>205.76999999999998</v>
      </c>
      <c r="R285">
        <f t="shared" si="88"/>
        <v>0</v>
      </c>
      <c r="S285">
        <f t="shared" si="89"/>
        <v>1028.8499999999999</v>
      </c>
      <c r="T285">
        <f t="shared" si="90"/>
        <v>1028.8499999999999</v>
      </c>
      <c r="U285">
        <f t="shared" si="91"/>
        <v>0</v>
      </c>
      <c r="W285" t="s">
        <v>428</v>
      </c>
    </row>
    <row r="286" spans="1:23">
      <c r="A286" t="s">
        <v>52</v>
      </c>
      <c r="B286" t="s">
        <v>421</v>
      </c>
      <c r="C286">
        <v>5617</v>
      </c>
      <c r="D286" t="s">
        <v>171</v>
      </c>
      <c r="G286">
        <v>2007</v>
      </c>
      <c r="H286">
        <v>2</v>
      </c>
      <c r="I286">
        <v>0.2</v>
      </c>
      <c r="J286" t="s">
        <v>30</v>
      </c>
      <c r="K286">
        <v>7</v>
      </c>
      <c r="L286">
        <f t="shared" si="83"/>
        <v>2014</v>
      </c>
      <c r="M286">
        <f t="shared" si="84"/>
        <v>2014.1666666666667</v>
      </c>
      <c r="N286">
        <v>8187.64</v>
      </c>
      <c r="O286">
        <f t="shared" si="85"/>
        <v>6550.1120000000001</v>
      </c>
      <c r="P286">
        <f t="shared" si="86"/>
        <v>77.977523809523817</v>
      </c>
      <c r="Q286">
        <f t="shared" si="87"/>
        <v>935.73028571428586</v>
      </c>
      <c r="R286">
        <f t="shared" si="88"/>
        <v>0</v>
      </c>
      <c r="S286">
        <f t="shared" si="89"/>
        <v>8187.64</v>
      </c>
      <c r="T286">
        <f t="shared" si="90"/>
        <v>6550.1120000000001</v>
      </c>
      <c r="U286">
        <f t="shared" si="91"/>
        <v>0</v>
      </c>
      <c r="W286" t="s">
        <v>428</v>
      </c>
    </row>
    <row r="287" spans="1:23">
      <c r="A287" t="s">
        <v>52</v>
      </c>
      <c r="B287" t="s">
        <v>421</v>
      </c>
      <c r="C287">
        <v>5617</v>
      </c>
      <c r="D287" t="s">
        <v>59</v>
      </c>
      <c r="G287">
        <v>2007</v>
      </c>
      <c r="H287">
        <v>4</v>
      </c>
      <c r="I287">
        <v>0.2</v>
      </c>
      <c r="J287" t="s">
        <v>30</v>
      </c>
      <c r="K287">
        <v>7</v>
      </c>
      <c r="L287">
        <f t="shared" si="83"/>
        <v>2014</v>
      </c>
      <c r="M287">
        <f t="shared" si="84"/>
        <v>2014.3333333333333</v>
      </c>
      <c r="N287">
        <v>99119.05</v>
      </c>
      <c r="O287">
        <f t="shared" si="85"/>
        <v>79295.240000000005</v>
      </c>
      <c r="P287">
        <f t="shared" si="86"/>
        <v>943.99095238095242</v>
      </c>
      <c r="Q287">
        <f t="shared" si="87"/>
        <v>11327.891428571429</v>
      </c>
      <c r="R287">
        <f t="shared" si="88"/>
        <v>0</v>
      </c>
      <c r="S287">
        <f t="shared" si="89"/>
        <v>99119.05</v>
      </c>
      <c r="T287">
        <f t="shared" si="90"/>
        <v>79295.240000000005</v>
      </c>
      <c r="U287">
        <f t="shared" si="91"/>
        <v>0</v>
      </c>
      <c r="W287" t="s">
        <v>428</v>
      </c>
    </row>
    <row r="288" spans="1:23">
      <c r="A288" t="s">
        <v>52</v>
      </c>
      <c r="B288" t="s">
        <v>421</v>
      </c>
      <c r="C288">
        <v>5614</v>
      </c>
      <c r="D288" t="s">
        <v>166</v>
      </c>
      <c r="G288">
        <v>2007</v>
      </c>
      <c r="H288">
        <v>7</v>
      </c>
      <c r="I288">
        <v>0</v>
      </c>
      <c r="J288" t="s">
        <v>30</v>
      </c>
      <c r="K288">
        <v>3</v>
      </c>
      <c r="L288">
        <f t="shared" si="83"/>
        <v>2010</v>
      </c>
      <c r="M288">
        <f t="shared" si="84"/>
        <v>2010.5833333333333</v>
      </c>
      <c r="N288">
        <v>8452.2000000000007</v>
      </c>
      <c r="O288">
        <f t="shared" si="85"/>
        <v>8452.2000000000007</v>
      </c>
      <c r="P288">
        <f t="shared" si="86"/>
        <v>234.78333333333333</v>
      </c>
      <c r="Q288">
        <f t="shared" si="87"/>
        <v>2817.4</v>
      </c>
      <c r="R288">
        <f t="shared" si="88"/>
        <v>0</v>
      </c>
      <c r="S288">
        <f t="shared" si="89"/>
        <v>8452.2000000000007</v>
      </c>
      <c r="T288">
        <f t="shared" si="90"/>
        <v>8452.2000000000007</v>
      </c>
      <c r="U288">
        <f t="shared" si="91"/>
        <v>0</v>
      </c>
      <c r="W288" t="s">
        <v>428</v>
      </c>
    </row>
    <row r="289" spans="1:23">
      <c r="A289" t="s">
        <v>426</v>
      </c>
      <c r="B289" t="s">
        <v>475</v>
      </c>
      <c r="C289">
        <v>5621</v>
      </c>
      <c r="D289" t="s">
        <v>60</v>
      </c>
      <c r="G289">
        <v>2007</v>
      </c>
      <c r="H289">
        <v>12</v>
      </c>
      <c r="I289">
        <v>0.2</v>
      </c>
      <c r="J289" t="s">
        <v>30</v>
      </c>
      <c r="K289">
        <v>7</v>
      </c>
      <c r="L289">
        <f t="shared" si="83"/>
        <v>2014</v>
      </c>
      <c r="M289">
        <f t="shared" si="84"/>
        <v>2015</v>
      </c>
      <c r="N289">
        <f>107561.93+7865.91</f>
        <v>115427.84</v>
      </c>
      <c r="O289">
        <f t="shared" si="85"/>
        <v>92342.271999999997</v>
      </c>
      <c r="P289">
        <f t="shared" si="86"/>
        <v>1099.3127619047618</v>
      </c>
      <c r="Q289">
        <f t="shared" si="87"/>
        <v>13191.753142857142</v>
      </c>
      <c r="R289">
        <f t="shared" si="88"/>
        <v>0</v>
      </c>
      <c r="S289">
        <f t="shared" si="89"/>
        <v>115427.84</v>
      </c>
      <c r="T289">
        <f t="shared" si="90"/>
        <v>92342.271999999997</v>
      </c>
      <c r="U289">
        <f t="shared" si="91"/>
        <v>0</v>
      </c>
      <c r="W289" t="s">
        <v>428</v>
      </c>
    </row>
    <row r="290" spans="1:23">
      <c r="A290" t="s">
        <v>39</v>
      </c>
      <c r="C290">
        <v>8152</v>
      </c>
      <c r="D290" t="s">
        <v>820</v>
      </c>
      <c r="E290">
        <v>130862</v>
      </c>
      <c r="G290">
        <v>2008</v>
      </c>
      <c r="H290">
        <v>11</v>
      </c>
      <c r="I290">
        <v>0.33</v>
      </c>
      <c r="J290" t="s">
        <v>30</v>
      </c>
      <c r="K290">
        <v>5</v>
      </c>
      <c r="L290">
        <f>G290+K290</f>
        <v>2013</v>
      </c>
      <c r="M290">
        <f t="shared" si="84"/>
        <v>2013.9166666666667</v>
      </c>
      <c r="N290">
        <v>26000</v>
      </c>
      <c r="O290">
        <f t="shared" si="85"/>
        <v>17420</v>
      </c>
      <c r="P290">
        <f t="shared" si="86"/>
        <v>290.33333333333331</v>
      </c>
      <c r="Q290">
        <f t="shared" si="87"/>
        <v>3484</v>
      </c>
      <c r="R290">
        <f t="shared" si="88"/>
        <v>0</v>
      </c>
      <c r="S290">
        <f t="shared" si="89"/>
        <v>26000</v>
      </c>
      <c r="T290">
        <f t="shared" si="90"/>
        <v>17420</v>
      </c>
      <c r="U290">
        <f t="shared" si="91"/>
        <v>0</v>
      </c>
    </row>
    <row r="291" spans="1:23">
      <c r="D291" t="s">
        <v>448</v>
      </c>
      <c r="E291" t="s">
        <v>447</v>
      </c>
      <c r="G291">
        <v>2009</v>
      </c>
      <c r="H291">
        <v>7</v>
      </c>
      <c r="I291">
        <v>0</v>
      </c>
      <c r="J291" t="s">
        <v>30</v>
      </c>
      <c r="K291">
        <v>5</v>
      </c>
      <c r="L291">
        <f t="shared" si="83"/>
        <v>2014</v>
      </c>
      <c r="M291">
        <f t="shared" si="84"/>
        <v>2014.5833333333333</v>
      </c>
      <c r="N291">
        <f>(34912.65+1078.65+10913.06)*10/46</f>
        <v>10196.6</v>
      </c>
      <c r="O291">
        <f t="shared" si="85"/>
        <v>10196.6</v>
      </c>
      <c r="P291">
        <f t="shared" si="86"/>
        <v>169.94333333333336</v>
      </c>
      <c r="Q291">
        <f t="shared" si="87"/>
        <v>2039.3200000000002</v>
      </c>
      <c r="R291">
        <f t="shared" si="88"/>
        <v>0</v>
      </c>
      <c r="S291">
        <f t="shared" si="89"/>
        <v>10196.6</v>
      </c>
      <c r="T291">
        <f t="shared" si="90"/>
        <v>10196.6</v>
      </c>
      <c r="U291">
        <f t="shared" si="91"/>
        <v>0</v>
      </c>
    </row>
    <row r="292" spans="1:23">
      <c r="A292" t="s">
        <v>52</v>
      </c>
      <c r="C292">
        <v>5614</v>
      </c>
      <c r="D292" t="s">
        <v>722</v>
      </c>
      <c r="E292">
        <v>112504</v>
      </c>
      <c r="F292">
        <v>90536</v>
      </c>
      <c r="G292">
        <v>2014</v>
      </c>
      <c r="H292">
        <v>2</v>
      </c>
      <c r="I292">
        <v>0</v>
      </c>
      <c r="J292" t="s">
        <v>30</v>
      </c>
      <c r="K292">
        <v>3</v>
      </c>
      <c r="L292">
        <f t="shared" si="83"/>
        <v>2017</v>
      </c>
      <c r="M292">
        <f t="shared" si="84"/>
        <v>2017.1666666666667</v>
      </c>
      <c r="N292">
        <v>8067.17</v>
      </c>
      <c r="O292">
        <f t="shared" si="85"/>
        <v>8067.17</v>
      </c>
      <c r="P292">
        <f t="shared" si="86"/>
        <v>224.08805555555557</v>
      </c>
      <c r="Q292">
        <f t="shared" si="87"/>
        <v>2689.0566666666668</v>
      </c>
      <c r="R292">
        <f t="shared" si="88"/>
        <v>0</v>
      </c>
      <c r="S292">
        <f t="shared" si="89"/>
        <v>8067.17</v>
      </c>
      <c r="T292">
        <f t="shared" si="90"/>
        <v>8067.17</v>
      </c>
      <c r="U292">
        <f t="shared" si="91"/>
        <v>0</v>
      </c>
    </row>
    <row r="293" spans="1:23">
      <c r="C293">
        <v>5594</v>
      </c>
      <c r="D293" t="s">
        <v>861</v>
      </c>
      <c r="E293">
        <v>183497</v>
      </c>
      <c r="G293">
        <v>2017</v>
      </c>
      <c r="H293">
        <v>5</v>
      </c>
      <c r="I293">
        <v>0</v>
      </c>
      <c r="J293" t="s">
        <v>30</v>
      </c>
      <c r="K293">
        <v>3</v>
      </c>
      <c r="L293">
        <f t="shared" si="83"/>
        <v>2020</v>
      </c>
      <c r="M293">
        <f t="shared" si="84"/>
        <v>2020.4166666666667</v>
      </c>
      <c r="N293">
        <v>14357</v>
      </c>
      <c r="O293">
        <f t="shared" si="85"/>
        <v>14357</v>
      </c>
      <c r="P293">
        <f t="shared" si="86"/>
        <v>398.8055555555556</v>
      </c>
      <c r="Q293">
        <f t="shared" si="87"/>
        <v>4785.666666666667</v>
      </c>
      <c r="R293">
        <f t="shared" si="88"/>
        <v>4785.666666666667</v>
      </c>
      <c r="S293">
        <f t="shared" si="89"/>
        <v>0</v>
      </c>
      <c r="T293">
        <f t="shared" si="90"/>
        <v>4785.666666666667</v>
      </c>
      <c r="U293">
        <f t="shared" si="91"/>
        <v>11964.166666666666</v>
      </c>
    </row>
    <row r="295" spans="1:23">
      <c r="L295" t="s">
        <v>590</v>
      </c>
      <c r="N295">
        <f>SUM(N265:N294)</f>
        <v>1109309.01</v>
      </c>
      <c r="O295">
        <f>SUM(O265:O294)</f>
        <v>890585.05849999993</v>
      </c>
      <c r="P295">
        <f t="shared" ref="P295:U295" si="92">SUM(P265:P294)</f>
        <v>11289.792267063489</v>
      </c>
      <c r="Q295">
        <f t="shared" si="92"/>
        <v>135477.5072047619</v>
      </c>
      <c r="R295">
        <f t="shared" si="92"/>
        <v>4785.666666666667</v>
      </c>
      <c r="S295">
        <f t="shared" si="92"/>
        <v>1094952.01</v>
      </c>
      <c r="T295">
        <f t="shared" si="92"/>
        <v>881013.72516666655</v>
      </c>
      <c r="U295">
        <f t="shared" si="92"/>
        <v>11964.166666666666</v>
      </c>
    </row>
    <row r="297" spans="1:23">
      <c r="B297" t="s">
        <v>439</v>
      </c>
    </row>
    <row r="298" spans="1:23">
      <c r="C298" t="s">
        <v>907</v>
      </c>
    </row>
    <row r="299" spans="1:23">
      <c r="L299" t="s">
        <v>440</v>
      </c>
      <c r="N299">
        <f t="shared" ref="N299:U299" si="93">SUM(N298:N298)</f>
        <v>0</v>
      </c>
      <c r="O299">
        <f t="shared" si="93"/>
        <v>0</v>
      </c>
      <c r="P299">
        <f t="shared" si="93"/>
        <v>0</v>
      </c>
      <c r="Q299">
        <f t="shared" si="93"/>
        <v>0</v>
      </c>
      <c r="R299">
        <f t="shared" si="93"/>
        <v>0</v>
      </c>
      <c r="S299">
        <f t="shared" si="93"/>
        <v>0</v>
      </c>
      <c r="T299">
        <f t="shared" si="93"/>
        <v>0</v>
      </c>
      <c r="U299">
        <f t="shared" si="93"/>
        <v>0</v>
      </c>
    </row>
    <row r="301" spans="1:23">
      <c r="B301" t="s">
        <v>888</v>
      </c>
    </row>
    <row r="302" spans="1:23">
      <c r="A302" t="s">
        <v>161</v>
      </c>
      <c r="C302">
        <v>9569</v>
      </c>
      <c r="D302" t="s">
        <v>889</v>
      </c>
      <c r="E302">
        <v>188923</v>
      </c>
      <c r="G302">
        <v>2017</v>
      </c>
      <c r="H302">
        <v>11</v>
      </c>
      <c r="I302">
        <v>0</v>
      </c>
      <c r="J302" t="s">
        <v>30</v>
      </c>
      <c r="K302">
        <v>10</v>
      </c>
      <c r="L302">
        <f>G302+K302</f>
        <v>2027</v>
      </c>
      <c r="M302">
        <f>+L302+(H302/12)</f>
        <v>2027.9166666666667</v>
      </c>
      <c r="N302">
        <v>68242.36</v>
      </c>
      <c r="O302">
        <f>N302-N302*I302</f>
        <v>68242.36</v>
      </c>
      <c r="P302">
        <f>O302/K302/12</f>
        <v>568.68633333333332</v>
      </c>
      <c r="Q302">
        <f>P302*12</f>
        <v>6824.2359999999999</v>
      </c>
      <c r="R302">
        <f>+IF(M302&lt;=$O$6,0,IF(L302&gt;$O$5,Q302,(P302*G302)))</f>
        <v>6824.2359999999999</v>
      </c>
      <c r="S302">
        <f>+IF(R302=0,N302,IF($O$5-G302&lt;1,0,(($O$5-G302)*Q302)))</f>
        <v>0</v>
      </c>
      <c r="T302">
        <f>+IF(R302=0,S302,S302+R302)-(N302-O302)</f>
        <v>6824.2359999999999</v>
      </c>
      <c r="U302">
        <f>+IF(R302=0,0,((N302-S302)+(N302-T302))/2)</f>
        <v>64830.241999999998</v>
      </c>
    </row>
    <row r="303" spans="1:23">
      <c r="C303">
        <v>9569</v>
      </c>
      <c r="D303" t="s">
        <v>732</v>
      </c>
      <c r="E303">
        <v>189846</v>
      </c>
      <c r="F303">
        <v>188923</v>
      </c>
      <c r="G303">
        <v>2017</v>
      </c>
      <c r="H303">
        <v>11</v>
      </c>
      <c r="I303">
        <v>0</v>
      </c>
      <c r="J303" t="s">
        <v>30</v>
      </c>
      <c r="K303">
        <v>5</v>
      </c>
      <c r="L303">
        <f>G303+K303</f>
        <v>2022</v>
      </c>
      <c r="M303">
        <f>+L303+(H303/12)</f>
        <v>2022.9166666666667</v>
      </c>
      <c r="N303">
        <v>1460.46</v>
      </c>
      <c r="O303">
        <f>N303-N303*I303</f>
        <v>1460.46</v>
      </c>
      <c r="P303">
        <f>O303/K303/12</f>
        <v>24.340999999999998</v>
      </c>
      <c r="Q303">
        <f>P303*12</f>
        <v>292.09199999999998</v>
      </c>
      <c r="R303">
        <f>+IF(M303&lt;=$O$6,0,IF(L303&gt;$O$5,Q303,(P303*G303)))</f>
        <v>292.09199999999998</v>
      </c>
      <c r="S303">
        <f>+IF(R303=0,N303,IF($O$5-G303&lt;1,0,(($O$5-G303)*Q303)))</f>
        <v>0</v>
      </c>
      <c r="T303">
        <f>+IF(R303=0,S303,S303+R303)-(N303-O303)</f>
        <v>292.09199999999998</v>
      </c>
      <c r="U303">
        <f>+IF(R303=0,0,((N303-S303)+(N303-T303))/2)</f>
        <v>1314.414</v>
      </c>
    </row>
    <row r="305" spans="1:24">
      <c r="L305" t="s">
        <v>890</v>
      </c>
      <c r="N305">
        <f t="shared" ref="N305:U305" si="94">+SUM(N302:N304)</f>
        <v>69702.820000000007</v>
      </c>
      <c r="O305">
        <f t="shared" si="94"/>
        <v>69702.820000000007</v>
      </c>
      <c r="P305">
        <f t="shared" si="94"/>
        <v>593.02733333333333</v>
      </c>
      <c r="Q305">
        <f t="shared" si="94"/>
        <v>7116.3279999999995</v>
      </c>
      <c r="R305">
        <f t="shared" si="94"/>
        <v>7116.3279999999995</v>
      </c>
      <c r="S305">
        <f t="shared" si="94"/>
        <v>0</v>
      </c>
      <c r="T305">
        <f t="shared" si="94"/>
        <v>7116.3279999999995</v>
      </c>
      <c r="U305">
        <f t="shared" si="94"/>
        <v>66144.656000000003</v>
      </c>
    </row>
    <row r="307" spans="1:24">
      <c r="L307" t="s">
        <v>444</v>
      </c>
      <c r="N307">
        <f t="shared" ref="N307:U307" si="95">N217+N196+N176+N120+N299+N295+N262+N237+N225+N252+N201+N127+N305</f>
        <v>24287767.870000005</v>
      </c>
      <c r="O307">
        <f t="shared" si="95"/>
        <v>20790753.9333</v>
      </c>
      <c r="P307">
        <f t="shared" si="95"/>
        <v>234480.95311373009</v>
      </c>
      <c r="Q307">
        <f t="shared" si="95"/>
        <v>2813771.4373647622</v>
      </c>
      <c r="R307">
        <f t="shared" si="95"/>
        <v>1414487.568908571</v>
      </c>
      <c r="S307">
        <f t="shared" si="95"/>
        <v>13863418.694792384</v>
      </c>
      <c r="T307">
        <f t="shared" si="95"/>
        <v>11817477.027000953</v>
      </c>
      <c r="U307">
        <f t="shared" si="95"/>
        <v>10344105.399053331</v>
      </c>
    </row>
    <row r="312" spans="1:24">
      <c r="B312" t="s">
        <v>476</v>
      </c>
    </row>
    <row r="313" spans="1:24">
      <c r="A313" t="s">
        <v>73</v>
      </c>
      <c r="B313" t="s">
        <v>343</v>
      </c>
      <c r="C313">
        <v>4015</v>
      </c>
      <c r="D313" t="s">
        <v>313</v>
      </c>
      <c r="G313">
        <v>1998</v>
      </c>
      <c r="H313">
        <v>6</v>
      </c>
      <c r="I313">
        <v>0.2</v>
      </c>
      <c r="J313" t="s">
        <v>30</v>
      </c>
      <c r="K313">
        <v>7</v>
      </c>
      <c r="L313">
        <f>G313+K313</f>
        <v>2005</v>
      </c>
      <c r="M313">
        <f>+L313+(H313/12)</f>
        <v>2005.5</v>
      </c>
      <c r="N313">
        <v>133465</v>
      </c>
      <c r="O313">
        <f>N313-N313*I313</f>
        <v>106772</v>
      </c>
      <c r="P313">
        <f>O313/K313/12</f>
        <v>1271.0952380952381</v>
      </c>
      <c r="Q313">
        <f>P313*12</f>
        <v>15253.142857142857</v>
      </c>
      <c r="R313">
        <f>+IF(M313&lt;=$O$6,0,IF(L313&gt;$O$5,Q313,(P313*G313)))</f>
        <v>0</v>
      </c>
      <c r="S313">
        <f>+IF(R313=0,N313,IF($O$5-G313&lt;1,0,(($O$5-G313)*Q313)))</f>
        <v>133465</v>
      </c>
      <c r="T313">
        <f>+IF(R313=0,S313,S313+R313)-(N313-O313)</f>
        <v>106772</v>
      </c>
      <c r="U313">
        <f>+IF(R313=0,0,((N313-S313)+(N313-T313))/2)</f>
        <v>0</v>
      </c>
      <c r="X313" t="s">
        <v>424</v>
      </c>
    </row>
    <row r="315" spans="1:24">
      <c r="B315" t="s">
        <v>593</v>
      </c>
    </row>
    <row r="316" spans="1:24">
      <c r="A316" t="s">
        <v>73</v>
      </c>
      <c r="B316" t="s">
        <v>345</v>
      </c>
      <c r="C316">
        <v>2509</v>
      </c>
      <c r="D316" t="s">
        <v>347</v>
      </c>
      <c r="G316">
        <v>1997</v>
      </c>
      <c r="H316">
        <v>2</v>
      </c>
      <c r="I316">
        <v>0.2</v>
      </c>
      <c r="J316" t="s">
        <v>30</v>
      </c>
      <c r="K316">
        <v>7</v>
      </c>
      <c r="L316">
        <f>G316+K316</f>
        <v>2004</v>
      </c>
      <c r="M316">
        <f>+L316+(H316/12)</f>
        <v>2004.1666666666667</v>
      </c>
      <c r="N316">
        <f>42120+89610+418+293+15490</f>
        <v>147931</v>
      </c>
      <c r="O316">
        <f>N316-N316*I316</f>
        <v>118344.8</v>
      </c>
      <c r="P316">
        <f>O316/K316/12</f>
        <v>1408.8666666666668</v>
      </c>
      <c r="Q316">
        <f>P316*12</f>
        <v>16906.400000000001</v>
      </c>
      <c r="R316">
        <f>+IF(M316&lt;=$O$6,0,IF(L316&gt;$O$5,Q316,(P316*G316)))</f>
        <v>0</v>
      </c>
      <c r="S316">
        <f>+IF(R316=0,N316,IF($O$5-G316&lt;1,0,(($O$5-G316)*Q316)))</f>
        <v>147931</v>
      </c>
      <c r="T316">
        <f>+IF(R316=0,S316,S316+R316)-(N316-O316)</f>
        <v>118344.8</v>
      </c>
      <c r="U316">
        <f>+IF(R316=0,0,((N316-S316)+(N316-T316))/2)</f>
        <v>0</v>
      </c>
      <c r="X316" t="s">
        <v>424</v>
      </c>
    </row>
    <row r="317" spans="1:24">
      <c r="A317" t="s">
        <v>179</v>
      </c>
      <c r="B317" t="s">
        <v>342</v>
      </c>
      <c r="C317">
        <v>3517</v>
      </c>
      <c r="D317" t="s">
        <v>180</v>
      </c>
      <c r="E317">
        <v>60724</v>
      </c>
      <c r="G317">
        <v>2000</v>
      </c>
      <c r="H317">
        <v>9</v>
      </c>
      <c r="I317">
        <v>0.2</v>
      </c>
      <c r="J317" t="s">
        <v>30</v>
      </c>
      <c r="K317">
        <v>7</v>
      </c>
      <c r="L317">
        <f>G317+K317</f>
        <v>2007</v>
      </c>
      <c r="M317">
        <f>+L317+(H317/12)</f>
        <v>2007.75</v>
      </c>
      <c r="N317">
        <v>141947.68</v>
      </c>
      <c r="O317">
        <f>N317-N317*I317</f>
        <v>113558.144</v>
      </c>
      <c r="P317">
        <f>O317/K317/12</f>
        <v>1351.8826666666666</v>
      </c>
      <c r="Q317">
        <f>P317*12</f>
        <v>16222.592000000001</v>
      </c>
      <c r="R317">
        <f>+IF(M317&lt;=$O$6,0,IF(L317&gt;$O$5,Q317,(P317*G317)))</f>
        <v>0</v>
      </c>
      <c r="S317">
        <f>+IF(R317=0,N317,IF($O$5-G317&lt;1,0,(($O$5-G317)*Q317)))</f>
        <v>141947.68</v>
      </c>
      <c r="T317">
        <f>+IF(R317=0,S317,S317+R317)-(N317-O317)</f>
        <v>113558.144</v>
      </c>
      <c r="U317">
        <f>+IF(R317=0,0,((N317-S317)+(N317-T317))/2)</f>
        <v>0</v>
      </c>
      <c r="X317" t="s">
        <v>428</v>
      </c>
    </row>
    <row r="318" spans="1:24">
      <c r="A318" t="s">
        <v>179</v>
      </c>
      <c r="B318" t="s">
        <v>341</v>
      </c>
      <c r="C318">
        <v>1013</v>
      </c>
      <c r="D318" t="s">
        <v>487</v>
      </c>
      <c r="G318">
        <v>1997</v>
      </c>
      <c r="H318">
        <v>8</v>
      </c>
      <c r="I318">
        <v>0.2</v>
      </c>
      <c r="J318" t="s">
        <v>30</v>
      </c>
      <c r="K318">
        <v>7</v>
      </c>
      <c r="L318">
        <f>G318+K318</f>
        <v>2004</v>
      </c>
      <c r="M318">
        <f>+L318+(H318/12)</f>
        <v>2004.6666666666667</v>
      </c>
      <c r="N318">
        <v>49500.42</v>
      </c>
      <c r="O318">
        <f>N318-N318*I318</f>
        <v>39600.335999999996</v>
      </c>
      <c r="P318">
        <f>O318/K318/12</f>
        <v>471.43257142857141</v>
      </c>
      <c r="Q318">
        <f>P318*12</f>
        <v>5657.1908571428567</v>
      </c>
      <c r="R318">
        <f>+IF(M318&lt;=$O$6,0,IF(L318&gt;$O$5,Q318,(P318*G318)))</f>
        <v>0</v>
      </c>
      <c r="S318">
        <f>+IF(R318=0,N318,IF($O$5-G318&lt;1,0,(($O$5-G318)*Q318)))</f>
        <v>49500.42</v>
      </c>
      <c r="T318">
        <f>+IF(R318=0,S318,S318+R318)-(N318-O318)</f>
        <v>39600.335999999996</v>
      </c>
      <c r="U318">
        <f>+IF(R318=0,0,((N318-S318)+(N318-T318))/2)</f>
        <v>0</v>
      </c>
      <c r="X318" t="s">
        <v>428</v>
      </c>
    </row>
    <row r="319" spans="1:24">
      <c r="A319" t="s">
        <v>179</v>
      </c>
      <c r="B319" t="s">
        <v>341</v>
      </c>
      <c r="C319">
        <v>1014</v>
      </c>
      <c r="D319" t="s">
        <v>488</v>
      </c>
      <c r="G319">
        <v>1997</v>
      </c>
      <c r="H319">
        <v>8</v>
      </c>
      <c r="I319">
        <v>0.2</v>
      </c>
      <c r="J319" t="s">
        <v>30</v>
      </c>
      <c r="K319">
        <v>7</v>
      </c>
      <c r="L319">
        <f>G319+K319</f>
        <v>2004</v>
      </c>
      <c r="M319">
        <f>+L319+(H319/12)</f>
        <v>2004.6666666666667</v>
      </c>
      <c r="N319">
        <v>50237.26</v>
      </c>
      <c r="O319">
        <f>N319-N319*I319</f>
        <v>40189.808000000005</v>
      </c>
      <c r="P319">
        <f>O319/K319/12</f>
        <v>478.45009523809534</v>
      </c>
      <c r="Q319">
        <f>P319*12</f>
        <v>5741.4011428571439</v>
      </c>
      <c r="R319">
        <f>+IF(M319&lt;=$O$6,0,IF(L319&gt;$O$5,Q319,(P319*G319)))</f>
        <v>0</v>
      </c>
      <c r="S319">
        <f>+IF(R319=0,N319,IF($O$5-G319&lt;1,0,(($O$5-G319)*Q319)))</f>
        <v>50237.26</v>
      </c>
      <c r="T319">
        <f>+IF(R319=0,S319,S319+R319)-(N319-O319)</f>
        <v>40189.808000000005</v>
      </c>
      <c r="U319">
        <f>+IF(R319=0,0,((N319-S319)+(N319-T319))/2)</f>
        <v>0</v>
      </c>
      <c r="X319" t="s">
        <v>428</v>
      </c>
    </row>
    <row r="320" spans="1:24">
      <c r="A320" t="s">
        <v>179</v>
      </c>
      <c r="B320" t="s">
        <v>341</v>
      </c>
      <c r="C320">
        <v>1014</v>
      </c>
      <c r="D320" t="s">
        <v>489</v>
      </c>
      <c r="G320">
        <v>2000</v>
      </c>
      <c r="H320">
        <v>1</v>
      </c>
      <c r="I320">
        <v>0.33</v>
      </c>
      <c r="J320" t="s">
        <v>30</v>
      </c>
      <c r="K320">
        <v>5</v>
      </c>
      <c r="L320">
        <f>G320+K320</f>
        <v>2005</v>
      </c>
      <c r="M320">
        <f>+L320+(H320/12)</f>
        <v>2005.0833333333333</v>
      </c>
      <c r="N320">
        <v>32379.08</v>
      </c>
      <c r="O320">
        <f>N320-N320*I320</f>
        <v>21693.9836</v>
      </c>
      <c r="P320">
        <f>O320/K320/12</f>
        <v>361.56639333333334</v>
      </c>
      <c r="Q320">
        <f>P320*12</f>
        <v>4338.7967200000003</v>
      </c>
      <c r="R320">
        <f>+IF(M320&lt;=$O$6,0,IF(L320&gt;$O$5,Q320,(P320*G320)))</f>
        <v>0</v>
      </c>
      <c r="S320">
        <f>+IF(R320=0,N320,IF($O$5-G320&lt;1,0,(($O$5-G320)*Q320)))</f>
        <v>32379.08</v>
      </c>
      <c r="T320">
        <f>+IF(R320=0,S320,S320+R320)-(N320-O320)</f>
        <v>21693.9836</v>
      </c>
      <c r="U320">
        <f>+IF(R320=0,0,((N320-S320)+(N320-T320))/2)</f>
        <v>0</v>
      </c>
      <c r="X320" t="s">
        <v>428</v>
      </c>
    </row>
    <row r="322" spans="1:24">
      <c r="B322" t="s">
        <v>629</v>
      </c>
    </row>
    <row r="323" spans="1:24">
      <c r="A323" t="s">
        <v>179</v>
      </c>
      <c r="B323" t="s">
        <v>345</v>
      </c>
      <c r="C323">
        <v>2033</v>
      </c>
      <c r="D323" t="s">
        <v>258</v>
      </c>
      <c r="G323">
        <v>2008</v>
      </c>
      <c r="H323">
        <v>11</v>
      </c>
      <c r="I323">
        <v>0.2</v>
      </c>
      <c r="J323" t="s">
        <v>30</v>
      </c>
      <c r="K323">
        <v>7</v>
      </c>
      <c r="L323">
        <f>G323+K323</f>
        <v>2015</v>
      </c>
      <c r="M323">
        <f>+L323+(H323/12)</f>
        <v>2015.9166666666667</v>
      </c>
      <c r="N323">
        <v>298034</v>
      </c>
      <c r="O323">
        <f>N323-N323*I323</f>
        <v>238427.2</v>
      </c>
      <c r="P323">
        <f>O323/K323/12</f>
        <v>2838.4190476190474</v>
      </c>
      <c r="Q323">
        <f>P323*12</f>
        <v>34061.028571428571</v>
      </c>
      <c r="R323">
        <f>+IF(M323&lt;=$O$6,0,IF(L323&gt;$O$5,Q323,(P323*G323)))</f>
        <v>0</v>
      </c>
      <c r="S323">
        <f>+IF(R323=0,N323,IF($O$5-G323&lt;1,0,(($O$5-G323)*Q323)))</f>
        <v>298034</v>
      </c>
      <c r="T323">
        <f>+IF(R323=0,S323,S323+R323)-(N323-O323)</f>
        <v>238427.2</v>
      </c>
      <c r="U323">
        <f>+IF(R323=0,0,((N323-S323)+(N323-T323))/2)</f>
        <v>0</v>
      </c>
      <c r="X323" t="s">
        <v>428</v>
      </c>
    </row>
    <row r="324" spans="1:24">
      <c r="A324" t="s">
        <v>34</v>
      </c>
      <c r="B324" t="s">
        <v>345</v>
      </c>
      <c r="C324">
        <v>2501</v>
      </c>
      <c r="D324" t="s">
        <v>349</v>
      </c>
      <c r="G324">
        <v>1996</v>
      </c>
      <c r="H324">
        <v>6</v>
      </c>
      <c r="I324">
        <v>0.2</v>
      </c>
      <c r="J324" t="s">
        <v>30</v>
      </c>
      <c r="K324">
        <v>7</v>
      </c>
      <c r="L324">
        <f>G324+K324</f>
        <v>2003</v>
      </c>
      <c r="M324">
        <f>+L324+(H324/12)</f>
        <v>2003.5</v>
      </c>
      <c r="N324">
        <f>89610+42120+17056</f>
        <v>148786</v>
      </c>
      <c r="O324">
        <f>N324-N324*I324</f>
        <v>119028.8</v>
      </c>
      <c r="P324">
        <f>O324/K324/12</f>
        <v>1417.0095238095239</v>
      </c>
      <c r="Q324">
        <f>P324*12</f>
        <v>17004.114285714288</v>
      </c>
      <c r="R324">
        <f>+IF(M324&lt;=$O$6,0,IF(L324&gt;$O$5,Q324,(P324*G324)))</f>
        <v>0</v>
      </c>
      <c r="S324">
        <f>+IF(R324=0,N324,IF($O$5-G324&lt;1,0,(($O$5-G324)*Q324)))</f>
        <v>148786</v>
      </c>
      <c r="T324">
        <f>+IF(R324=0,S324,S324+R324)-(N324-O324)</f>
        <v>119028.8</v>
      </c>
      <c r="U324">
        <f>+IF(R324=0,0,((N324-S324)+(N324-T324))/2)</f>
        <v>0</v>
      </c>
      <c r="X324" t="s">
        <v>428</v>
      </c>
    </row>
    <row r="325" spans="1:24">
      <c r="A325" t="s">
        <v>34</v>
      </c>
      <c r="C325">
        <v>2501</v>
      </c>
      <c r="D325" t="s">
        <v>331</v>
      </c>
      <c r="G325">
        <v>2009</v>
      </c>
      <c r="H325">
        <v>3</v>
      </c>
      <c r="I325">
        <v>0</v>
      </c>
      <c r="J325" t="s">
        <v>30</v>
      </c>
      <c r="K325">
        <v>3</v>
      </c>
      <c r="L325">
        <f>G325+K325</f>
        <v>2012</v>
      </c>
      <c r="M325">
        <f>+L325+(H325/12)</f>
        <v>2012.25</v>
      </c>
      <c r="N325">
        <v>12245.45</v>
      </c>
      <c r="O325">
        <f>N325-N325*I325</f>
        <v>12245.45</v>
      </c>
      <c r="P325">
        <f>O325/K325/12</f>
        <v>340.1513888888889</v>
      </c>
      <c r="Q325">
        <f>P325*12</f>
        <v>4081.8166666666666</v>
      </c>
      <c r="R325">
        <f>+IF(M325&lt;=$O$6,0,IF(L325&gt;$O$5,Q325,(P325*G325)))</f>
        <v>0</v>
      </c>
      <c r="S325">
        <f>+IF(R325=0,N325,IF($O$5-G325&lt;1,0,(($O$5-G325)*Q325)))</f>
        <v>12245.45</v>
      </c>
      <c r="T325">
        <f>+IF(R325=0,S325,S325+R325)-(N325-O325)</f>
        <v>12245.45</v>
      </c>
      <c r="U325">
        <f>+IF(R325=0,0,((N325-S325)+(N325-T325))/2)</f>
        <v>0</v>
      </c>
      <c r="X325" t="s">
        <v>428</v>
      </c>
    </row>
    <row r="327" spans="1:24">
      <c r="B327" t="s">
        <v>673</v>
      </c>
    </row>
    <row r="328" spans="1:24">
      <c r="A328" t="s">
        <v>34</v>
      </c>
      <c r="B328" t="s">
        <v>345</v>
      </c>
      <c r="C328">
        <v>2002</v>
      </c>
      <c r="D328" t="s">
        <v>244</v>
      </c>
      <c r="G328">
        <v>1995</v>
      </c>
      <c r="H328">
        <v>6</v>
      </c>
      <c r="I328">
        <v>0.2</v>
      </c>
      <c r="J328" t="s">
        <v>30</v>
      </c>
      <c r="K328">
        <v>7</v>
      </c>
      <c r="L328">
        <f>G328+K328</f>
        <v>2002</v>
      </c>
      <c r="M328">
        <f>+L328+(H328/12)</f>
        <v>2002.5</v>
      </c>
      <c r="N328">
        <v>85157</v>
      </c>
      <c r="O328">
        <f>N328-N328*I328</f>
        <v>68125.600000000006</v>
      </c>
      <c r="P328">
        <f>O328/K328/12</f>
        <v>811.01904761904768</v>
      </c>
      <c r="Q328">
        <f>P328*12</f>
        <v>9732.2285714285717</v>
      </c>
      <c r="R328">
        <f>+IF(M328&lt;=$O$6,0,IF(L328&gt;$O$5,Q328,(P328*G328)))</f>
        <v>0</v>
      </c>
      <c r="S328">
        <f>+IF(R328=0,N328,IF($O$5-G328&lt;1,0,(($O$5-G328)*Q328)))</f>
        <v>85157</v>
      </c>
      <c r="T328">
        <f>+IF(R328=0,S328,S328+R328)-(N328-O328)</f>
        <v>68125.600000000006</v>
      </c>
      <c r="U328">
        <f>+IF(R328=0,0,((N328-S328)+(N328-T328))/2)</f>
        <v>0</v>
      </c>
      <c r="X328" t="s">
        <v>428</v>
      </c>
    </row>
    <row r="329" spans="1:24">
      <c r="A329" t="s">
        <v>467</v>
      </c>
      <c r="B329" t="s">
        <v>345</v>
      </c>
      <c r="C329">
        <v>2002</v>
      </c>
      <c r="D329" t="s">
        <v>278</v>
      </c>
      <c r="G329">
        <v>1995</v>
      </c>
      <c r="H329">
        <v>8</v>
      </c>
      <c r="I329">
        <v>0.2</v>
      </c>
      <c r="J329" t="s">
        <v>30</v>
      </c>
      <c r="K329">
        <v>7</v>
      </c>
      <c r="L329">
        <f>G329+K329</f>
        <v>2002</v>
      </c>
      <c r="M329">
        <f>+L329+(H329/12)</f>
        <v>2002.6666666666667</v>
      </c>
      <c r="N329">
        <v>45318</v>
      </c>
      <c r="O329">
        <f>N329-N329*I329</f>
        <v>36254.400000000001</v>
      </c>
      <c r="P329">
        <f>O329/K329/12</f>
        <v>431.59999999999997</v>
      </c>
      <c r="Q329">
        <f>P329*12</f>
        <v>5179.2</v>
      </c>
      <c r="R329">
        <f>+IF(M329&lt;=$O$6,0,IF(L329&gt;$O$5,Q329,(P329*G329)))</f>
        <v>0</v>
      </c>
      <c r="S329">
        <f>+IF(R329=0,N329,IF($O$5-G329&lt;1,0,(($O$5-G329)*Q329)))</f>
        <v>45318</v>
      </c>
      <c r="T329">
        <f>+IF(R329=0,S329,S329+R329)-(N329-O329)</f>
        <v>36254.400000000001</v>
      </c>
      <c r="U329">
        <f>+IF(R329=0,0,((N329-S329)+(N329-T329))/2)</f>
        <v>0</v>
      </c>
      <c r="X329" t="s">
        <v>428</v>
      </c>
    </row>
    <row r="330" spans="1:24">
      <c r="A330" t="s">
        <v>179</v>
      </c>
      <c r="C330">
        <v>2002</v>
      </c>
      <c r="D330" t="s">
        <v>334</v>
      </c>
      <c r="G330">
        <v>1998</v>
      </c>
      <c r="H330">
        <v>10</v>
      </c>
      <c r="I330">
        <v>0</v>
      </c>
      <c r="J330" t="s">
        <v>30</v>
      </c>
      <c r="K330">
        <v>5</v>
      </c>
      <c r="L330">
        <f>G330+K330</f>
        <v>2003</v>
      </c>
      <c r="M330">
        <f>+L330+(H330/12)</f>
        <v>2003.8333333333333</v>
      </c>
      <c r="N330">
        <v>1529.14</v>
      </c>
      <c r="O330">
        <f>N330-N330*I330</f>
        <v>1529.14</v>
      </c>
      <c r="P330">
        <f>O330/K330/12</f>
        <v>25.48566666666667</v>
      </c>
      <c r="Q330">
        <f>P330*12</f>
        <v>305.82800000000003</v>
      </c>
      <c r="R330">
        <f>+IF(M330&lt;=$O$6,0,IF(L330&gt;$O$5,Q330,(P330*G330)))</f>
        <v>0</v>
      </c>
      <c r="S330">
        <f>+IF(R330=0,N330,IF($O$5-G330&lt;1,0,(($O$5-G330)*Q330)))</f>
        <v>1529.14</v>
      </c>
      <c r="T330">
        <f>+IF(R330=0,S330,S330+R330)-(N330-O330)</f>
        <v>1529.14</v>
      </c>
      <c r="U330">
        <f>+IF(R330=0,0,((N330-S330)+(N330-T330))/2)</f>
        <v>0</v>
      </c>
      <c r="X330" t="s">
        <v>428</v>
      </c>
    </row>
    <row r="332" spans="1:24">
      <c r="B332" t="s">
        <v>710</v>
      </c>
    </row>
    <row r="333" spans="1:24">
      <c r="A333" t="s">
        <v>34</v>
      </c>
      <c r="B333" t="s">
        <v>341</v>
      </c>
      <c r="C333">
        <v>1039</v>
      </c>
      <c r="D333" t="s">
        <v>194</v>
      </c>
      <c r="G333">
        <v>2004</v>
      </c>
      <c r="H333">
        <v>5</v>
      </c>
      <c r="I333">
        <v>0.2</v>
      </c>
      <c r="J333" t="s">
        <v>30</v>
      </c>
      <c r="K333">
        <v>7</v>
      </c>
      <c r="L333">
        <f t="shared" ref="L333:L341" si="96">G333+K333</f>
        <v>2011</v>
      </c>
      <c r="M333">
        <f t="shared" ref="M333:M343" si="97">+L333+(H333/12)</f>
        <v>2011.4166666666667</v>
      </c>
      <c r="N333">
        <v>110183.48</v>
      </c>
      <c r="O333">
        <f t="shared" ref="O333:O343" si="98">N333-N333*I333</f>
        <v>88146.784</v>
      </c>
      <c r="P333">
        <f t="shared" ref="P333:P343" si="99">O333/K333/12</f>
        <v>1049.3664761904763</v>
      </c>
      <c r="Q333">
        <f t="shared" ref="Q333:Q343" si="100">P333*12</f>
        <v>12592.397714285715</v>
      </c>
      <c r="R333">
        <f t="shared" ref="R333:R343" si="101">+IF(M333&lt;=$O$6,0,IF(L333&gt;$O$5,Q333,(P333*G333)))</f>
        <v>0</v>
      </c>
      <c r="S333">
        <f t="shared" ref="S333:S343" si="102">+IF(R333=0,N333,IF($O$5-G333&lt;1,0,(($O$5-G333)*Q333)))</f>
        <v>110183.48</v>
      </c>
      <c r="T333">
        <f t="shared" ref="T333:T343" si="103">+IF(R333=0,S333,S333+R333)-(N333-O333)</f>
        <v>88146.784</v>
      </c>
      <c r="U333">
        <f t="shared" ref="U333:U343" si="104">+IF(R333=0,0,((N333-S333)+(N333-T333))/2)</f>
        <v>0</v>
      </c>
      <c r="X333" t="s">
        <v>428</v>
      </c>
    </row>
    <row r="334" spans="1:24">
      <c r="A334" t="s">
        <v>36</v>
      </c>
      <c r="B334" t="s">
        <v>480</v>
      </c>
      <c r="C334">
        <v>2016</v>
      </c>
      <c r="D334" t="s">
        <v>314</v>
      </c>
      <c r="G334">
        <v>2001</v>
      </c>
      <c r="H334">
        <v>10</v>
      </c>
      <c r="I334">
        <v>0.33</v>
      </c>
      <c r="J334" t="s">
        <v>30</v>
      </c>
      <c r="K334">
        <v>5</v>
      </c>
      <c r="L334">
        <f t="shared" si="96"/>
        <v>2006</v>
      </c>
      <c r="M334">
        <f t="shared" si="97"/>
        <v>2006.8333333333333</v>
      </c>
      <c r="N334">
        <v>152101.13</v>
      </c>
      <c r="O334">
        <f t="shared" si="98"/>
        <v>101907.7571</v>
      </c>
      <c r="P334">
        <f t="shared" si="99"/>
        <v>1698.4626183333332</v>
      </c>
      <c r="Q334">
        <f t="shared" si="100"/>
        <v>20381.55142</v>
      </c>
      <c r="R334">
        <f t="shared" si="101"/>
        <v>0</v>
      </c>
      <c r="S334">
        <f t="shared" si="102"/>
        <v>152101.13</v>
      </c>
      <c r="T334">
        <f t="shared" si="103"/>
        <v>101907.7571</v>
      </c>
      <c r="U334">
        <f t="shared" si="104"/>
        <v>0</v>
      </c>
      <c r="X334" t="s">
        <v>428</v>
      </c>
    </row>
    <row r="335" spans="1:24">
      <c r="A335" t="s">
        <v>36</v>
      </c>
      <c r="C335">
        <v>2016</v>
      </c>
      <c r="D335" t="s">
        <v>621</v>
      </c>
      <c r="G335">
        <v>2011</v>
      </c>
      <c r="H335">
        <v>12</v>
      </c>
      <c r="I335">
        <v>0</v>
      </c>
      <c r="J335" t="s">
        <v>30</v>
      </c>
      <c r="K335">
        <v>3</v>
      </c>
      <c r="L335">
        <f t="shared" si="96"/>
        <v>2014</v>
      </c>
      <c r="M335">
        <f t="shared" si="97"/>
        <v>2015</v>
      </c>
      <c r="N335">
        <v>9205</v>
      </c>
      <c r="O335">
        <f t="shared" si="98"/>
        <v>9205</v>
      </c>
      <c r="P335">
        <f t="shared" si="99"/>
        <v>255.69444444444446</v>
      </c>
      <c r="Q335">
        <f t="shared" si="100"/>
        <v>3068.3333333333335</v>
      </c>
      <c r="R335">
        <f t="shared" si="101"/>
        <v>0</v>
      </c>
      <c r="S335">
        <f t="shared" si="102"/>
        <v>9205</v>
      </c>
      <c r="T335">
        <f t="shared" si="103"/>
        <v>9205</v>
      </c>
      <c r="U335">
        <f t="shared" si="104"/>
        <v>0</v>
      </c>
      <c r="X335" t="s">
        <v>427</v>
      </c>
    </row>
    <row r="336" spans="1:24">
      <c r="A336" t="s">
        <v>39</v>
      </c>
      <c r="B336" t="s">
        <v>421</v>
      </c>
      <c r="C336">
        <v>8810</v>
      </c>
      <c r="D336" t="s">
        <v>243</v>
      </c>
      <c r="G336">
        <v>1994</v>
      </c>
      <c r="H336">
        <v>4</v>
      </c>
      <c r="I336">
        <v>0</v>
      </c>
      <c r="J336" t="s">
        <v>30</v>
      </c>
      <c r="K336">
        <v>7</v>
      </c>
      <c r="L336">
        <f t="shared" si="96"/>
        <v>2001</v>
      </c>
      <c r="M336">
        <f t="shared" si="97"/>
        <v>2001.3333333333333</v>
      </c>
      <c r="N336">
        <v>18681</v>
      </c>
      <c r="O336">
        <f t="shared" si="98"/>
        <v>18681</v>
      </c>
      <c r="P336">
        <f t="shared" si="99"/>
        <v>222.39285714285714</v>
      </c>
      <c r="Q336">
        <f t="shared" si="100"/>
        <v>2668.7142857142858</v>
      </c>
      <c r="R336">
        <f t="shared" si="101"/>
        <v>0</v>
      </c>
      <c r="S336">
        <f t="shared" si="102"/>
        <v>18681</v>
      </c>
      <c r="T336">
        <f t="shared" si="103"/>
        <v>18681</v>
      </c>
      <c r="U336">
        <f t="shared" si="104"/>
        <v>0</v>
      </c>
      <c r="W336" t="s">
        <v>372</v>
      </c>
    </row>
    <row r="337" spans="1:24" ht="12" customHeight="1">
      <c r="A337" t="s">
        <v>39</v>
      </c>
      <c r="B337" t="s">
        <v>421</v>
      </c>
      <c r="C337">
        <v>8828</v>
      </c>
      <c r="D337" t="s">
        <v>270</v>
      </c>
      <c r="G337">
        <v>1994</v>
      </c>
      <c r="H337">
        <v>10</v>
      </c>
      <c r="I337">
        <v>0.2</v>
      </c>
      <c r="J337" t="s">
        <v>30</v>
      </c>
      <c r="K337">
        <v>7</v>
      </c>
      <c r="L337">
        <f t="shared" si="96"/>
        <v>2001</v>
      </c>
      <c r="M337">
        <f t="shared" si="97"/>
        <v>2001.8333333333333</v>
      </c>
      <c r="N337">
        <v>20142</v>
      </c>
      <c r="O337">
        <f t="shared" si="98"/>
        <v>16113.6</v>
      </c>
      <c r="P337">
        <f t="shared" si="99"/>
        <v>191.82857142857142</v>
      </c>
      <c r="Q337">
        <f t="shared" si="100"/>
        <v>2301.9428571428571</v>
      </c>
      <c r="R337">
        <f t="shared" si="101"/>
        <v>0</v>
      </c>
      <c r="S337">
        <f t="shared" si="102"/>
        <v>20142</v>
      </c>
      <c r="T337">
        <f t="shared" si="103"/>
        <v>16113.6</v>
      </c>
      <c r="U337">
        <f t="shared" si="104"/>
        <v>0</v>
      </c>
      <c r="W337" t="s">
        <v>372</v>
      </c>
    </row>
    <row r="338" spans="1:24">
      <c r="A338" t="s">
        <v>39</v>
      </c>
      <c r="B338" t="s">
        <v>421</v>
      </c>
      <c r="C338">
        <v>8828</v>
      </c>
      <c r="D338" t="s">
        <v>330</v>
      </c>
      <c r="G338">
        <v>2007</v>
      </c>
      <c r="H338">
        <v>4</v>
      </c>
      <c r="I338">
        <v>0</v>
      </c>
      <c r="J338" t="s">
        <v>30</v>
      </c>
      <c r="K338">
        <v>5</v>
      </c>
      <c r="L338">
        <f t="shared" si="96"/>
        <v>2012</v>
      </c>
      <c r="M338">
        <f t="shared" si="97"/>
        <v>2012.3333333333333</v>
      </c>
      <c r="N338">
        <v>23866.41</v>
      </c>
      <c r="O338">
        <f t="shared" si="98"/>
        <v>23866.41</v>
      </c>
      <c r="P338">
        <f t="shared" si="99"/>
        <v>397.77350000000001</v>
      </c>
      <c r="Q338">
        <f t="shared" si="100"/>
        <v>4773.2820000000002</v>
      </c>
      <c r="R338">
        <f t="shared" si="101"/>
        <v>0</v>
      </c>
      <c r="S338">
        <f t="shared" si="102"/>
        <v>23866.41</v>
      </c>
      <c r="T338">
        <f t="shared" si="103"/>
        <v>23866.41</v>
      </c>
      <c r="U338">
        <f t="shared" si="104"/>
        <v>0</v>
      </c>
      <c r="W338" t="s">
        <v>372</v>
      </c>
    </row>
    <row r="339" spans="1:24">
      <c r="A339" t="s">
        <v>711</v>
      </c>
      <c r="B339" t="s">
        <v>345</v>
      </c>
      <c r="C339">
        <v>2003</v>
      </c>
      <c r="D339" t="s">
        <v>348</v>
      </c>
      <c r="G339">
        <v>1995</v>
      </c>
      <c r="H339">
        <v>3</v>
      </c>
      <c r="I339">
        <v>0.2</v>
      </c>
      <c r="J339" t="s">
        <v>30</v>
      </c>
      <c r="K339">
        <v>7</v>
      </c>
      <c r="L339">
        <f t="shared" si="96"/>
        <v>2002</v>
      </c>
      <c r="M339">
        <f t="shared" si="97"/>
        <v>2002.25</v>
      </c>
      <c r="N339">
        <f>84709+818+42950</f>
        <v>128477</v>
      </c>
      <c r="O339">
        <f t="shared" si="98"/>
        <v>102781.6</v>
      </c>
      <c r="P339">
        <f t="shared" si="99"/>
        <v>1223.5904761904762</v>
      </c>
      <c r="Q339">
        <f t="shared" si="100"/>
        <v>14683.085714285715</v>
      </c>
      <c r="R339">
        <f t="shared" si="101"/>
        <v>0</v>
      </c>
      <c r="S339">
        <f t="shared" si="102"/>
        <v>128477</v>
      </c>
      <c r="T339">
        <f t="shared" si="103"/>
        <v>102781.6</v>
      </c>
      <c r="U339">
        <f t="shared" si="104"/>
        <v>0</v>
      </c>
      <c r="X339" t="s">
        <v>428</v>
      </c>
    </row>
    <row r="340" spans="1:24">
      <c r="A340" t="s">
        <v>711</v>
      </c>
      <c r="C340">
        <v>2003</v>
      </c>
      <c r="D340" t="s">
        <v>334</v>
      </c>
      <c r="G340">
        <v>1998</v>
      </c>
      <c r="H340">
        <v>10</v>
      </c>
      <c r="I340">
        <v>0</v>
      </c>
      <c r="J340" t="s">
        <v>30</v>
      </c>
      <c r="K340">
        <v>3</v>
      </c>
      <c r="L340">
        <f t="shared" si="96"/>
        <v>2001</v>
      </c>
      <c r="M340">
        <f t="shared" si="97"/>
        <v>2001.8333333333333</v>
      </c>
      <c r="N340">
        <v>1529.13</v>
      </c>
      <c r="O340">
        <f t="shared" si="98"/>
        <v>1529.13</v>
      </c>
      <c r="P340">
        <f t="shared" si="99"/>
        <v>42.475833333333334</v>
      </c>
      <c r="Q340">
        <f t="shared" si="100"/>
        <v>509.71000000000004</v>
      </c>
      <c r="R340">
        <f t="shared" si="101"/>
        <v>0</v>
      </c>
      <c r="S340">
        <f t="shared" si="102"/>
        <v>1529.13</v>
      </c>
      <c r="T340">
        <f t="shared" si="103"/>
        <v>1529.13</v>
      </c>
      <c r="U340">
        <f t="shared" si="104"/>
        <v>0</v>
      </c>
      <c r="X340" t="s">
        <v>428</v>
      </c>
    </row>
    <row r="341" spans="1:24">
      <c r="A341" t="s">
        <v>36</v>
      </c>
      <c r="C341">
        <v>2003</v>
      </c>
      <c r="D341" t="s">
        <v>322</v>
      </c>
      <c r="G341">
        <v>2009</v>
      </c>
      <c r="H341">
        <v>5</v>
      </c>
      <c r="I341">
        <v>0</v>
      </c>
      <c r="J341" t="s">
        <v>30</v>
      </c>
      <c r="K341">
        <v>3</v>
      </c>
      <c r="L341">
        <f t="shared" si="96"/>
        <v>2012</v>
      </c>
      <c r="M341">
        <f t="shared" si="97"/>
        <v>2012.4166666666667</v>
      </c>
      <c r="N341">
        <v>24358.47</v>
      </c>
      <c r="O341">
        <f t="shared" si="98"/>
        <v>24358.47</v>
      </c>
      <c r="P341">
        <f t="shared" si="99"/>
        <v>676.62416666666672</v>
      </c>
      <c r="Q341">
        <f t="shared" si="100"/>
        <v>8119.4900000000007</v>
      </c>
      <c r="R341">
        <f t="shared" si="101"/>
        <v>0</v>
      </c>
      <c r="S341">
        <f t="shared" si="102"/>
        <v>24358.47</v>
      </c>
      <c r="T341">
        <f t="shared" si="103"/>
        <v>24358.47</v>
      </c>
      <c r="U341">
        <f t="shared" si="104"/>
        <v>0</v>
      </c>
    </row>
    <row r="342" spans="1:24">
      <c r="A342" t="s">
        <v>36</v>
      </c>
      <c r="B342" t="s">
        <v>480</v>
      </c>
      <c r="C342">
        <v>2017</v>
      </c>
      <c r="D342" t="s">
        <v>41</v>
      </c>
      <c r="G342">
        <v>2003</v>
      </c>
      <c r="H342">
        <v>6</v>
      </c>
      <c r="I342">
        <v>0.2</v>
      </c>
      <c r="J342" t="s">
        <v>30</v>
      </c>
      <c r="K342">
        <v>7</v>
      </c>
      <c r="L342">
        <f>G342+K342</f>
        <v>2010</v>
      </c>
      <c r="M342">
        <f t="shared" si="97"/>
        <v>2010.5</v>
      </c>
      <c r="N342">
        <f>106596.91+3672</f>
        <v>110268.91</v>
      </c>
      <c r="O342">
        <f t="shared" si="98"/>
        <v>88215.127999999997</v>
      </c>
      <c r="P342">
        <f t="shared" si="99"/>
        <v>1050.1800952380952</v>
      </c>
      <c r="Q342">
        <f t="shared" si="100"/>
        <v>12602.161142857141</v>
      </c>
      <c r="R342">
        <f t="shared" si="101"/>
        <v>0</v>
      </c>
      <c r="S342">
        <f t="shared" si="102"/>
        <v>110268.91</v>
      </c>
      <c r="T342">
        <f t="shared" si="103"/>
        <v>88215.127999999997</v>
      </c>
      <c r="U342">
        <f t="shared" si="104"/>
        <v>0</v>
      </c>
      <c r="X342" t="s">
        <v>428</v>
      </c>
    </row>
    <row r="343" spans="1:24">
      <c r="A343" t="s">
        <v>39</v>
      </c>
      <c r="B343" t="s">
        <v>421</v>
      </c>
      <c r="C343">
        <v>8030</v>
      </c>
      <c r="D343" t="s">
        <v>543</v>
      </c>
      <c r="E343">
        <v>86843</v>
      </c>
      <c r="G343">
        <v>2000</v>
      </c>
      <c r="H343">
        <v>1</v>
      </c>
      <c r="I343">
        <v>0.2</v>
      </c>
      <c r="J343" t="s">
        <v>30</v>
      </c>
      <c r="K343">
        <v>7</v>
      </c>
      <c r="L343">
        <f>G343+K343</f>
        <v>2007</v>
      </c>
      <c r="M343">
        <f t="shared" si="97"/>
        <v>2007.0833333333333</v>
      </c>
      <c r="N343">
        <v>69553</v>
      </c>
      <c r="O343">
        <f t="shared" si="98"/>
        <v>55642.400000000001</v>
      </c>
      <c r="P343">
        <f t="shared" si="99"/>
        <v>662.40952380952388</v>
      </c>
      <c r="Q343">
        <f t="shared" si="100"/>
        <v>7948.914285714287</v>
      </c>
      <c r="R343">
        <f t="shared" si="101"/>
        <v>0</v>
      </c>
      <c r="S343">
        <f t="shared" si="102"/>
        <v>69553</v>
      </c>
      <c r="T343">
        <f t="shared" si="103"/>
        <v>55642.400000000001</v>
      </c>
      <c r="U343">
        <f t="shared" si="104"/>
        <v>0</v>
      </c>
    </row>
    <row r="345" spans="1:24">
      <c r="B345" t="s">
        <v>762</v>
      </c>
    </row>
    <row r="346" spans="1:24">
      <c r="B346" t="s">
        <v>623</v>
      </c>
      <c r="C346">
        <v>2040</v>
      </c>
      <c r="D346" t="s">
        <v>647</v>
      </c>
      <c r="E346" t="s">
        <v>648</v>
      </c>
      <c r="G346">
        <v>2012</v>
      </c>
      <c r="H346">
        <v>12</v>
      </c>
      <c r="I346">
        <v>0</v>
      </c>
      <c r="J346" t="s">
        <v>30</v>
      </c>
      <c r="K346">
        <v>7</v>
      </c>
      <c r="L346">
        <f>G346+K346</f>
        <v>2019</v>
      </c>
      <c r="M346">
        <f>+L346+(H346/12)</f>
        <v>2020</v>
      </c>
      <c r="N346">
        <f>304502+848</f>
        <v>305350</v>
      </c>
      <c r="O346">
        <f>N346-N346*I346</f>
        <v>305350</v>
      </c>
      <c r="P346">
        <f>O346/K346/12</f>
        <v>3635.1190476190477</v>
      </c>
      <c r="Q346">
        <f>P346*12</f>
        <v>43621.428571428572</v>
      </c>
      <c r="R346">
        <f>+IF(M346&lt;=$O$6,0,IF(L346&gt;$O$5,Q346,(P346*G346)))</f>
        <v>43621.428571428572</v>
      </c>
      <c r="S346">
        <f>+IF(R346=0,N346,IF($O$5-G346&lt;1,0,(($O$5-G346)*Q346)))</f>
        <v>218107.14285714287</v>
      </c>
      <c r="T346">
        <f>+IF(R346=0,S346,S346+R346)-(N346-O346)</f>
        <v>261728.57142857145</v>
      </c>
      <c r="U346">
        <f>+IF(R346=0,0,((N346-S346)+(N346-T346))/2)</f>
        <v>65432.142857142841</v>
      </c>
    </row>
    <row r="347" spans="1:24">
      <c r="A347" t="s">
        <v>32</v>
      </c>
      <c r="B347" t="s">
        <v>352</v>
      </c>
      <c r="C347">
        <v>6011</v>
      </c>
      <c r="D347" t="s">
        <v>557</v>
      </c>
      <c r="G347">
        <v>1998</v>
      </c>
      <c r="H347">
        <v>7</v>
      </c>
      <c r="I347">
        <v>0.33</v>
      </c>
      <c r="J347" t="s">
        <v>30</v>
      </c>
      <c r="K347">
        <v>5</v>
      </c>
      <c r="L347">
        <f>G347+K347</f>
        <v>2003</v>
      </c>
      <c r="M347">
        <f>+L347+(H347/12)</f>
        <v>2003.5833333333333</v>
      </c>
      <c r="N347">
        <v>8000.83</v>
      </c>
      <c r="O347">
        <f>N347-N347*I347</f>
        <v>5360.5560999999998</v>
      </c>
      <c r="P347">
        <f>O347/K347/12</f>
        <v>89.342601666666667</v>
      </c>
      <c r="Q347">
        <f>P347*12</f>
        <v>1072.11122</v>
      </c>
      <c r="R347">
        <f>+IF(M347&lt;=$O$6,0,IF(L347&gt;$O$5,Q347,(P347*G347)))</f>
        <v>0</v>
      </c>
      <c r="S347">
        <f>+IF(R347=0,N347,IF($O$5-G347&lt;1,0,(($O$5-G347)*Q347)))</f>
        <v>8000.83</v>
      </c>
      <c r="T347">
        <f>+IF(R347=0,S347,S347+R347)-(N347-O347)</f>
        <v>5360.5560999999998</v>
      </c>
      <c r="U347">
        <f>+IF(R347=0,0,((N347-S347)+(N347-T347))/2)</f>
        <v>0</v>
      </c>
      <c r="X347" t="s">
        <v>428</v>
      </c>
    </row>
    <row r="348" spans="1:24">
      <c r="B348" t="s">
        <v>343</v>
      </c>
      <c r="C348">
        <v>4074</v>
      </c>
      <c r="D348" t="s">
        <v>730</v>
      </c>
      <c r="E348">
        <v>118076</v>
      </c>
      <c r="G348">
        <v>2014</v>
      </c>
      <c r="H348">
        <v>12</v>
      </c>
      <c r="I348">
        <v>0.2</v>
      </c>
      <c r="J348" t="s">
        <v>30</v>
      </c>
      <c r="K348">
        <v>7</v>
      </c>
      <c r="L348">
        <f>G348+K348</f>
        <v>2021</v>
      </c>
      <c r="M348">
        <f>+L348+(H348/12)</f>
        <v>2022</v>
      </c>
      <c r="N348">
        <v>223619.37</v>
      </c>
      <c r="O348">
        <f>N348-N348*I348</f>
        <v>178895.49599999998</v>
      </c>
      <c r="P348">
        <f>O348/K348/12</f>
        <v>2129.7082857142855</v>
      </c>
      <c r="Q348">
        <f>P348*12</f>
        <v>25556.499428571427</v>
      </c>
      <c r="R348">
        <f>+IF(M348&lt;=$O$6,0,IF(L348&gt;$O$5,Q348,(P348*G348)))</f>
        <v>25556.499428571427</v>
      </c>
      <c r="S348">
        <f>+IF(R348=0,N348,IF($O$5-G348&lt;1,0,(($O$5-G348)*Q348)))</f>
        <v>76669.498285714275</v>
      </c>
      <c r="T348">
        <f>+IF(R348=0,S348,S348+R348)-(N348-O348)</f>
        <v>57502.123714285699</v>
      </c>
      <c r="U348">
        <f>+IF(R348=0,0,((N348-S348)+(N348-T348))/2)</f>
        <v>156533.55900000001</v>
      </c>
    </row>
    <row r="349" spans="1:24">
      <c r="B349" t="s">
        <v>343</v>
      </c>
      <c r="C349">
        <v>4074</v>
      </c>
      <c r="D349" t="s">
        <v>732</v>
      </c>
      <c r="E349">
        <v>118513</v>
      </c>
      <c r="G349">
        <v>2014</v>
      </c>
      <c r="H349">
        <v>12</v>
      </c>
      <c r="I349">
        <v>0</v>
      </c>
      <c r="J349" t="s">
        <v>30</v>
      </c>
      <c r="K349">
        <v>7</v>
      </c>
      <c r="L349">
        <f>G349+K349</f>
        <v>2021</v>
      </c>
      <c r="M349">
        <f>+L349+(H349/12)</f>
        <v>2022</v>
      </c>
      <c r="N349">
        <v>606.20000000000005</v>
      </c>
      <c r="O349">
        <f>N349-N349*I349</f>
        <v>606.20000000000005</v>
      </c>
      <c r="P349">
        <f>O349/K349/12</f>
        <v>7.2166666666666677</v>
      </c>
      <c r="Q349">
        <f>P349*12</f>
        <v>86.600000000000009</v>
      </c>
      <c r="R349">
        <f>+IF(M349&lt;=$O$6,0,IF(L349&gt;$O$5,Q349,(P349*G349)))</f>
        <v>86.600000000000009</v>
      </c>
      <c r="S349">
        <f>+IF(R349=0,N349,IF($O$5-G349&lt;1,0,(($O$5-G349)*Q349)))</f>
        <v>259.8</v>
      </c>
      <c r="T349">
        <f>+IF(R349=0,S349,S349+R349)-(N349-O349)</f>
        <v>346.40000000000003</v>
      </c>
      <c r="U349">
        <f>+IF(R349=0,0,((N349-S349)+(N349-T349))/2)</f>
        <v>303.10000000000002</v>
      </c>
    </row>
    <row r="350" spans="1:24">
      <c r="B350" t="s">
        <v>777</v>
      </c>
    </row>
    <row r="351" spans="1:24">
      <c r="A351" t="s">
        <v>34</v>
      </c>
      <c r="B351" t="s">
        <v>352</v>
      </c>
      <c r="C351">
        <v>3306</v>
      </c>
      <c r="D351" t="s">
        <v>470</v>
      </c>
      <c r="G351">
        <v>1992</v>
      </c>
      <c r="H351">
        <v>6</v>
      </c>
      <c r="I351">
        <v>0.2</v>
      </c>
      <c r="J351" t="s">
        <v>30</v>
      </c>
      <c r="K351">
        <v>7</v>
      </c>
      <c r="L351">
        <f t="shared" ref="L351:L363" si="105">G351+K351</f>
        <v>1999</v>
      </c>
      <c r="M351">
        <f t="shared" ref="M351:M365" si="106">+L351+(H351/12)</f>
        <v>1999.5</v>
      </c>
      <c r="N351">
        <v>17787</v>
      </c>
      <c r="O351">
        <f t="shared" ref="O351:O365" si="107">N351-N351*I351</f>
        <v>14229.6</v>
      </c>
      <c r="P351">
        <f t="shared" ref="P351:P365" si="108">O351/K351/12</f>
        <v>169.4</v>
      </c>
      <c r="Q351">
        <f t="shared" ref="Q351:Q365" si="109">P351*12</f>
        <v>2032.8000000000002</v>
      </c>
      <c r="R351">
        <f t="shared" ref="R351:R365" si="110">+IF(M351&lt;=$O$6,0,IF(L351&gt;$O$5,Q351,(P351*G351)))</f>
        <v>0</v>
      </c>
      <c r="S351">
        <f t="shared" ref="S351:S365" si="111">+IF(R351=0,N351,IF($O$5-G351&lt;1,0,(($O$5-G351)*Q351)))</f>
        <v>17787</v>
      </c>
      <c r="T351">
        <f t="shared" ref="T351:T365" si="112">+IF(R351=0,S351,S351+R351)-(N351-O351)</f>
        <v>14229.6</v>
      </c>
      <c r="U351">
        <f t="shared" ref="U351:U365" si="113">+IF(R351=0,0,((N351-S351)+(N351-T351))/2)</f>
        <v>0</v>
      </c>
      <c r="X351" t="s">
        <v>428</v>
      </c>
    </row>
    <row r="352" spans="1:24">
      <c r="A352" t="s">
        <v>34</v>
      </c>
      <c r="B352" t="s">
        <v>352</v>
      </c>
      <c r="C352">
        <v>3307</v>
      </c>
      <c r="D352" t="s">
        <v>471</v>
      </c>
      <c r="G352">
        <v>1999</v>
      </c>
      <c r="H352">
        <v>5</v>
      </c>
      <c r="I352">
        <v>0.2</v>
      </c>
      <c r="J352" t="s">
        <v>30</v>
      </c>
      <c r="K352">
        <v>7</v>
      </c>
      <c r="L352">
        <f t="shared" si="105"/>
        <v>2006</v>
      </c>
      <c r="M352">
        <f t="shared" si="106"/>
        <v>2006.4166666666667</v>
      </c>
      <c r="N352">
        <v>59078</v>
      </c>
      <c r="O352">
        <f t="shared" si="107"/>
        <v>47262.400000000001</v>
      </c>
      <c r="P352">
        <f t="shared" si="108"/>
        <v>562.64761904761906</v>
      </c>
      <c r="Q352">
        <f t="shared" si="109"/>
        <v>6751.7714285714283</v>
      </c>
      <c r="R352">
        <f t="shared" si="110"/>
        <v>0</v>
      </c>
      <c r="S352">
        <f t="shared" si="111"/>
        <v>59078</v>
      </c>
      <c r="T352">
        <f t="shared" si="112"/>
        <v>47262.400000000001</v>
      </c>
      <c r="U352">
        <f t="shared" si="113"/>
        <v>0</v>
      </c>
      <c r="X352" t="s">
        <v>428</v>
      </c>
    </row>
    <row r="353" spans="1:24">
      <c r="A353" t="s">
        <v>34</v>
      </c>
      <c r="B353" t="s">
        <v>342</v>
      </c>
      <c r="C353">
        <v>3554</v>
      </c>
      <c r="D353" t="s">
        <v>346</v>
      </c>
      <c r="G353">
        <v>2000</v>
      </c>
      <c r="H353">
        <v>1</v>
      </c>
      <c r="I353">
        <v>0.2</v>
      </c>
      <c r="J353" t="s">
        <v>30</v>
      </c>
      <c r="K353">
        <v>7</v>
      </c>
      <c r="L353">
        <f t="shared" si="105"/>
        <v>2007</v>
      </c>
      <c r="M353">
        <f t="shared" si="106"/>
        <v>2007.0833333333333</v>
      </c>
      <c r="N353">
        <f>85472.89+62217.11+3143.6+1870+1532.03</f>
        <v>154235.63</v>
      </c>
      <c r="O353">
        <f t="shared" si="107"/>
        <v>123388.504</v>
      </c>
      <c r="P353">
        <f t="shared" si="108"/>
        <v>1468.9107619047618</v>
      </c>
      <c r="Q353">
        <f t="shared" si="109"/>
        <v>17626.929142857141</v>
      </c>
      <c r="R353">
        <f t="shared" si="110"/>
        <v>0</v>
      </c>
      <c r="S353">
        <f t="shared" si="111"/>
        <v>154235.63</v>
      </c>
      <c r="T353">
        <f t="shared" si="112"/>
        <v>123388.504</v>
      </c>
      <c r="U353">
        <f t="shared" si="113"/>
        <v>0</v>
      </c>
      <c r="X353" t="s">
        <v>428</v>
      </c>
    </row>
    <row r="354" spans="1:24">
      <c r="A354" t="s">
        <v>179</v>
      </c>
      <c r="C354">
        <v>3554</v>
      </c>
      <c r="D354" t="s">
        <v>319</v>
      </c>
      <c r="G354">
        <v>2009</v>
      </c>
      <c r="H354">
        <v>5</v>
      </c>
      <c r="I354">
        <v>0</v>
      </c>
      <c r="J354" t="s">
        <v>30</v>
      </c>
      <c r="K354">
        <v>3</v>
      </c>
      <c r="L354">
        <f t="shared" si="105"/>
        <v>2012</v>
      </c>
      <c r="M354">
        <f t="shared" si="106"/>
        <v>2012.4166666666667</v>
      </c>
      <c r="N354">
        <v>5048.87</v>
      </c>
      <c r="O354">
        <f t="shared" si="107"/>
        <v>5048.87</v>
      </c>
      <c r="P354">
        <f t="shared" si="108"/>
        <v>140.2463888888889</v>
      </c>
      <c r="Q354">
        <f t="shared" si="109"/>
        <v>1682.9566666666669</v>
      </c>
      <c r="R354">
        <f t="shared" si="110"/>
        <v>0</v>
      </c>
      <c r="S354">
        <f t="shared" si="111"/>
        <v>5048.87</v>
      </c>
      <c r="T354">
        <f t="shared" si="112"/>
        <v>5048.87</v>
      </c>
      <c r="U354">
        <f t="shared" si="113"/>
        <v>0</v>
      </c>
    </row>
    <row r="355" spans="1:24">
      <c r="A355" t="s">
        <v>43</v>
      </c>
      <c r="B355" t="s">
        <v>342</v>
      </c>
      <c r="C355">
        <v>3596</v>
      </c>
      <c r="D355" t="s">
        <v>207</v>
      </c>
      <c r="G355">
        <v>2006</v>
      </c>
      <c r="H355">
        <v>6</v>
      </c>
      <c r="I355">
        <v>0.2</v>
      </c>
      <c r="J355" t="s">
        <v>30</v>
      </c>
      <c r="K355">
        <v>7</v>
      </c>
      <c r="L355">
        <f t="shared" si="105"/>
        <v>2013</v>
      </c>
      <c r="M355">
        <f t="shared" si="106"/>
        <v>2013.5</v>
      </c>
      <c r="N355">
        <v>195907.6</v>
      </c>
      <c r="O355">
        <f t="shared" si="107"/>
        <v>156726.08000000002</v>
      </c>
      <c r="P355">
        <f t="shared" si="108"/>
        <v>1865.7866666666669</v>
      </c>
      <c r="Q355">
        <f t="shared" si="109"/>
        <v>22389.440000000002</v>
      </c>
      <c r="R355">
        <f t="shared" si="110"/>
        <v>0</v>
      </c>
      <c r="S355">
        <f t="shared" si="111"/>
        <v>195907.6</v>
      </c>
      <c r="T355">
        <f t="shared" si="112"/>
        <v>156726.08000000002</v>
      </c>
      <c r="U355">
        <f t="shared" si="113"/>
        <v>0</v>
      </c>
      <c r="X355" t="s">
        <v>427</v>
      </c>
    </row>
    <row r="356" spans="1:24">
      <c r="A356" t="s">
        <v>36</v>
      </c>
      <c r="B356" t="s">
        <v>345</v>
      </c>
      <c r="C356">
        <v>2018</v>
      </c>
      <c r="D356" t="s">
        <v>555</v>
      </c>
      <c r="G356">
        <v>2003</v>
      </c>
      <c r="H356">
        <v>5</v>
      </c>
      <c r="I356">
        <v>0.2</v>
      </c>
      <c r="J356" t="s">
        <v>30</v>
      </c>
      <c r="K356">
        <v>7</v>
      </c>
      <c r="L356">
        <f t="shared" si="105"/>
        <v>2010</v>
      </c>
      <c r="M356">
        <f t="shared" si="106"/>
        <v>2010.4166666666667</v>
      </c>
      <c r="N356">
        <f>156939.91+10615.14</f>
        <v>167555.04999999999</v>
      </c>
      <c r="O356">
        <f t="shared" si="107"/>
        <v>134044.03999999998</v>
      </c>
      <c r="P356">
        <f t="shared" si="108"/>
        <v>1595.7623809523809</v>
      </c>
      <c r="Q356">
        <f t="shared" si="109"/>
        <v>19149.14857142857</v>
      </c>
      <c r="R356">
        <f t="shared" si="110"/>
        <v>0</v>
      </c>
      <c r="S356">
        <f t="shared" si="111"/>
        <v>167555.04999999999</v>
      </c>
      <c r="T356">
        <f t="shared" si="112"/>
        <v>134044.03999999998</v>
      </c>
      <c r="U356">
        <f t="shared" si="113"/>
        <v>0</v>
      </c>
    </row>
    <row r="357" spans="1:24">
      <c r="B357" t="s">
        <v>536</v>
      </c>
      <c r="C357">
        <v>5501</v>
      </c>
      <c r="D357" t="s">
        <v>537</v>
      </c>
      <c r="E357">
        <v>86825</v>
      </c>
      <c r="G357">
        <v>1995</v>
      </c>
      <c r="H357">
        <v>9</v>
      </c>
      <c r="I357">
        <v>0.2</v>
      </c>
      <c r="J357" t="s">
        <v>30</v>
      </c>
      <c r="K357">
        <v>7</v>
      </c>
      <c r="L357">
        <f t="shared" si="105"/>
        <v>2002</v>
      </c>
      <c r="M357">
        <f t="shared" si="106"/>
        <v>2002.75</v>
      </c>
      <c r="N357">
        <v>32371</v>
      </c>
      <c r="O357">
        <f t="shared" si="107"/>
        <v>25896.799999999999</v>
      </c>
      <c r="P357">
        <f t="shared" si="108"/>
        <v>308.29523809523806</v>
      </c>
      <c r="Q357">
        <f t="shared" si="109"/>
        <v>3699.5428571428565</v>
      </c>
      <c r="R357">
        <f t="shared" si="110"/>
        <v>0</v>
      </c>
      <c r="S357">
        <f t="shared" si="111"/>
        <v>32371</v>
      </c>
      <c r="T357">
        <f t="shared" si="112"/>
        <v>25896.799999999999</v>
      </c>
      <c r="U357">
        <f t="shared" si="113"/>
        <v>0</v>
      </c>
    </row>
    <row r="358" spans="1:24">
      <c r="A358" t="s">
        <v>39</v>
      </c>
      <c r="B358" t="s">
        <v>421</v>
      </c>
      <c r="C358">
        <v>5554</v>
      </c>
      <c r="D358" t="s">
        <v>538</v>
      </c>
      <c r="E358">
        <v>86827</v>
      </c>
      <c r="G358">
        <v>1998</v>
      </c>
      <c r="H358">
        <v>7</v>
      </c>
      <c r="I358">
        <v>0.2</v>
      </c>
      <c r="J358" t="s">
        <v>30</v>
      </c>
      <c r="K358">
        <v>7</v>
      </c>
      <c r="L358">
        <f t="shared" si="105"/>
        <v>2005</v>
      </c>
      <c r="M358">
        <f t="shared" si="106"/>
        <v>2005.5833333333333</v>
      </c>
      <c r="N358">
        <f>17850+520+925.77+2142+840.18+1499.4</f>
        <v>23777.350000000002</v>
      </c>
      <c r="O358">
        <f t="shared" si="107"/>
        <v>19021.88</v>
      </c>
      <c r="P358">
        <f t="shared" si="108"/>
        <v>226.45095238095237</v>
      </c>
      <c r="Q358">
        <f t="shared" si="109"/>
        <v>2717.4114285714286</v>
      </c>
      <c r="R358">
        <f t="shared" si="110"/>
        <v>0</v>
      </c>
      <c r="S358">
        <f t="shared" si="111"/>
        <v>23777.350000000002</v>
      </c>
      <c r="T358">
        <f t="shared" si="112"/>
        <v>19021.88</v>
      </c>
      <c r="U358">
        <f t="shared" si="113"/>
        <v>0</v>
      </c>
    </row>
    <row r="359" spans="1:24">
      <c r="A359" t="s">
        <v>39</v>
      </c>
      <c r="B359" t="s">
        <v>421</v>
      </c>
      <c r="C359">
        <v>5555</v>
      </c>
      <c r="D359" t="s">
        <v>538</v>
      </c>
      <c r="E359">
        <v>86829</v>
      </c>
      <c r="G359">
        <v>1998</v>
      </c>
      <c r="H359">
        <v>7</v>
      </c>
      <c r="I359">
        <v>0.2</v>
      </c>
      <c r="J359" t="s">
        <v>30</v>
      </c>
      <c r="K359">
        <v>7</v>
      </c>
      <c r="L359">
        <f t="shared" si="105"/>
        <v>2005</v>
      </c>
      <c r="M359">
        <f t="shared" si="106"/>
        <v>2005.5833333333333</v>
      </c>
      <c r="N359">
        <f>22277.95+1657.27</f>
        <v>23935.22</v>
      </c>
      <c r="O359">
        <f t="shared" si="107"/>
        <v>19148.175999999999</v>
      </c>
      <c r="P359">
        <f t="shared" si="108"/>
        <v>227.95447619047619</v>
      </c>
      <c r="Q359">
        <f t="shared" si="109"/>
        <v>2735.4537142857143</v>
      </c>
      <c r="R359">
        <f t="shared" si="110"/>
        <v>0</v>
      </c>
      <c r="S359">
        <f t="shared" si="111"/>
        <v>23935.22</v>
      </c>
      <c r="T359">
        <f t="shared" si="112"/>
        <v>19148.175999999999</v>
      </c>
      <c r="U359">
        <f t="shared" si="113"/>
        <v>0</v>
      </c>
    </row>
    <row r="360" spans="1:24">
      <c r="A360" t="s">
        <v>39</v>
      </c>
      <c r="B360" t="s">
        <v>421</v>
      </c>
      <c r="C360">
        <v>5554</v>
      </c>
      <c r="D360" t="s">
        <v>545</v>
      </c>
      <c r="E360">
        <v>86828</v>
      </c>
      <c r="G360">
        <v>2009</v>
      </c>
      <c r="H360">
        <v>5</v>
      </c>
      <c r="I360">
        <v>0</v>
      </c>
      <c r="J360" t="s">
        <v>30</v>
      </c>
      <c r="K360">
        <v>3</v>
      </c>
      <c r="L360">
        <f t="shared" si="105"/>
        <v>2012</v>
      </c>
      <c r="M360">
        <f t="shared" si="106"/>
        <v>2012.4166666666667</v>
      </c>
      <c r="N360">
        <v>4394.9799999999996</v>
      </c>
      <c r="O360">
        <f t="shared" si="107"/>
        <v>4394.9799999999996</v>
      </c>
      <c r="P360">
        <f t="shared" si="108"/>
        <v>122.08277777777776</v>
      </c>
      <c r="Q360">
        <f t="shared" si="109"/>
        <v>1464.9933333333331</v>
      </c>
      <c r="R360">
        <f t="shared" si="110"/>
        <v>0</v>
      </c>
      <c r="S360">
        <f t="shared" si="111"/>
        <v>4394.9799999999996</v>
      </c>
      <c r="T360">
        <f t="shared" si="112"/>
        <v>4394.9799999999996</v>
      </c>
      <c r="U360">
        <f t="shared" si="113"/>
        <v>0</v>
      </c>
    </row>
    <row r="361" spans="1:24">
      <c r="A361" t="s">
        <v>52</v>
      </c>
      <c r="B361" t="s">
        <v>421</v>
      </c>
      <c r="C361">
        <v>5560</v>
      </c>
      <c r="D361" t="s">
        <v>74</v>
      </c>
      <c r="G361">
        <v>1999</v>
      </c>
      <c r="H361">
        <v>1</v>
      </c>
      <c r="I361">
        <v>0.33</v>
      </c>
      <c r="J361" t="s">
        <v>30</v>
      </c>
      <c r="K361">
        <v>7</v>
      </c>
      <c r="L361">
        <f t="shared" si="105"/>
        <v>2006</v>
      </c>
      <c r="M361">
        <f t="shared" si="106"/>
        <v>2006.0833333333333</v>
      </c>
      <c r="N361">
        <v>25160.37</v>
      </c>
      <c r="O361">
        <f t="shared" si="107"/>
        <v>16857.447899999999</v>
      </c>
      <c r="P361">
        <f t="shared" si="108"/>
        <v>200.68390357142857</v>
      </c>
      <c r="Q361">
        <f t="shared" si="109"/>
        <v>2408.2068428571429</v>
      </c>
      <c r="R361">
        <f t="shared" si="110"/>
        <v>0</v>
      </c>
      <c r="S361">
        <f t="shared" si="111"/>
        <v>25160.37</v>
      </c>
      <c r="T361">
        <f t="shared" si="112"/>
        <v>16857.447899999999</v>
      </c>
      <c r="U361">
        <f t="shared" si="113"/>
        <v>0</v>
      </c>
      <c r="W361" t="s">
        <v>428</v>
      </c>
    </row>
    <row r="362" spans="1:24">
      <c r="A362" t="s">
        <v>52</v>
      </c>
      <c r="B362" t="s">
        <v>421</v>
      </c>
      <c r="C362">
        <v>5514</v>
      </c>
      <c r="D362" t="s">
        <v>651</v>
      </c>
      <c r="G362">
        <v>2000</v>
      </c>
      <c r="H362">
        <v>7</v>
      </c>
      <c r="I362">
        <v>0.33</v>
      </c>
      <c r="J362" t="s">
        <v>30</v>
      </c>
      <c r="K362">
        <v>5</v>
      </c>
      <c r="L362">
        <f t="shared" si="105"/>
        <v>2005</v>
      </c>
      <c r="M362">
        <f t="shared" si="106"/>
        <v>2005.5833333333333</v>
      </c>
      <c r="N362">
        <v>28205.83</v>
      </c>
      <c r="O362">
        <f t="shared" si="107"/>
        <v>18897.9061</v>
      </c>
      <c r="P362">
        <f t="shared" si="108"/>
        <v>314.96510166666667</v>
      </c>
      <c r="Q362">
        <f t="shared" si="109"/>
        <v>3779.58122</v>
      </c>
      <c r="R362">
        <f t="shared" si="110"/>
        <v>0</v>
      </c>
      <c r="S362">
        <f t="shared" si="111"/>
        <v>28205.83</v>
      </c>
      <c r="T362">
        <f t="shared" si="112"/>
        <v>18897.9061</v>
      </c>
      <c r="U362">
        <f t="shared" si="113"/>
        <v>0</v>
      </c>
    </row>
    <row r="363" spans="1:24">
      <c r="A363" t="s">
        <v>201</v>
      </c>
      <c r="B363" t="s">
        <v>341</v>
      </c>
      <c r="C363">
        <v>1566</v>
      </c>
      <c r="D363" t="s">
        <v>558</v>
      </c>
      <c r="G363">
        <v>1992</v>
      </c>
      <c r="H363">
        <v>4</v>
      </c>
      <c r="I363">
        <v>0.2</v>
      </c>
      <c r="J363" t="s">
        <v>30</v>
      </c>
      <c r="K363">
        <v>7</v>
      </c>
      <c r="L363">
        <f t="shared" si="105"/>
        <v>1999</v>
      </c>
      <c r="M363">
        <f t="shared" si="106"/>
        <v>1999.3333333333333</v>
      </c>
      <c r="N363">
        <f>37870+26015+20644</f>
        <v>84529</v>
      </c>
      <c r="O363">
        <f t="shared" si="107"/>
        <v>67623.199999999997</v>
      </c>
      <c r="P363">
        <f t="shared" si="108"/>
        <v>805.03809523809514</v>
      </c>
      <c r="Q363">
        <f t="shared" si="109"/>
        <v>9660.4571428571417</v>
      </c>
      <c r="R363">
        <f t="shared" si="110"/>
        <v>0</v>
      </c>
      <c r="S363">
        <f t="shared" si="111"/>
        <v>84529</v>
      </c>
      <c r="T363">
        <f t="shared" si="112"/>
        <v>67623.199999999997</v>
      </c>
      <c r="U363">
        <f t="shared" si="113"/>
        <v>0</v>
      </c>
      <c r="X363" t="s">
        <v>428</v>
      </c>
    </row>
    <row r="364" spans="1:24">
      <c r="A364" t="s">
        <v>36</v>
      </c>
      <c r="B364" t="s">
        <v>342</v>
      </c>
      <c r="C364">
        <v>3571</v>
      </c>
      <c r="D364" t="s">
        <v>190</v>
      </c>
      <c r="G364">
        <v>2003</v>
      </c>
      <c r="H364">
        <v>1</v>
      </c>
      <c r="I364">
        <v>0.2</v>
      </c>
      <c r="J364" t="s">
        <v>30</v>
      </c>
      <c r="K364">
        <v>7</v>
      </c>
      <c r="L364">
        <f>G364+K364</f>
        <v>2010</v>
      </c>
      <c r="M364">
        <f t="shared" si="106"/>
        <v>2010.0833333333333</v>
      </c>
      <c r="N364">
        <v>160624.25</v>
      </c>
      <c r="O364">
        <f t="shared" si="107"/>
        <v>128499.4</v>
      </c>
      <c r="P364">
        <f t="shared" si="108"/>
        <v>1529.7547619047618</v>
      </c>
      <c r="Q364">
        <f t="shared" si="109"/>
        <v>18357.057142857142</v>
      </c>
      <c r="R364">
        <f t="shared" si="110"/>
        <v>0</v>
      </c>
      <c r="S364">
        <f t="shared" si="111"/>
        <v>160624.25</v>
      </c>
      <c r="T364">
        <f t="shared" si="112"/>
        <v>128499.4</v>
      </c>
      <c r="U364">
        <f t="shared" si="113"/>
        <v>0</v>
      </c>
      <c r="X364" t="s">
        <v>428</v>
      </c>
    </row>
    <row r="365" spans="1:24">
      <c r="C365">
        <v>3571</v>
      </c>
      <c r="D365" t="s">
        <v>678</v>
      </c>
      <c r="E365">
        <v>106766</v>
      </c>
      <c r="G365">
        <v>2013</v>
      </c>
      <c r="H365">
        <v>7</v>
      </c>
      <c r="I365">
        <v>0</v>
      </c>
      <c r="J365" t="s">
        <v>30</v>
      </c>
      <c r="K365">
        <v>3</v>
      </c>
      <c r="L365">
        <f>G365+K365</f>
        <v>2016</v>
      </c>
      <c r="M365">
        <f t="shared" si="106"/>
        <v>2016.5833333333333</v>
      </c>
      <c r="N365">
        <v>7455.58</v>
      </c>
      <c r="O365">
        <f t="shared" si="107"/>
        <v>7455.58</v>
      </c>
      <c r="P365">
        <f t="shared" si="108"/>
        <v>207.09944444444443</v>
      </c>
      <c r="Q365">
        <f t="shared" si="109"/>
        <v>2485.1933333333332</v>
      </c>
      <c r="R365">
        <f t="shared" si="110"/>
        <v>0</v>
      </c>
      <c r="S365">
        <f t="shared" si="111"/>
        <v>7455.58</v>
      </c>
      <c r="T365">
        <f t="shared" si="112"/>
        <v>7455.58</v>
      </c>
      <c r="U365">
        <f t="shared" si="113"/>
        <v>0</v>
      </c>
    </row>
    <row r="367" spans="1:24">
      <c r="B367" t="s">
        <v>803</v>
      </c>
    </row>
    <row r="368" spans="1:24">
      <c r="A368" t="s">
        <v>39</v>
      </c>
      <c r="B368" t="s">
        <v>421</v>
      </c>
      <c r="C368">
        <v>8021</v>
      </c>
      <c r="D368" t="s">
        <v>542</v>
      </c>
      <c r="E368">
        <v>86831</v>
      </c>
      <c r="G368">
        <v>2000</v>
      </c>
      <c r="H368">
        <v>1</v>
      </c>
      <c r="I368">
        <v>0.2</v>
      </c>
      <c r="J368" t="s">
        <v>30</v>
      </c>
      <c r="K368">
        <v>7</v>
      </c>
      <c r="L368">
        <f t="shared" ref="L368:L392" si="114">G368+K368</f>
        <v>2007</v>
      </c>
      <c r="M368">
        <f t="shared" ref="M368:M392" si="115">+L368+(H368/12)</f>
        <v>2007.0833333333333</v>
      </c>
      <c r="N368">
        <v>85484</v>
      </c>
      <c r="O368">
        <f t="shared" ref="O368:O392" si="116">N368-N368*I368</f>
        <v>68387.199999999997</v>
      </c>
      <c r="P368">
        <f t="shared" ref="P368:P392" si="117">O368/K368/12</f>
        <v>814.13333333333333</v>
      </c>
      <c r="Q368">
        <f t="shared" ref="Q368:Q392" si="118">P368*12</f>
        <v>9769.6</v>
      </c>
      <c r="R368">
        <f t="shared" ref="R368:R392" si="119">+IF(M368&lt;=$O$6,0,IF(L368&gt;$O$5,Q368,(P368*G368)))</f>
        <v>0</v>
      </c>
      <c r="S368">
        <f t="shared" ref="S368:S392" si="120">+IF(R368=0,N368,IF($O$5-G368&lt;1,0,(($O$5-G368)*Q368)))</f>
        <v>85484</v>
      </c>
      <c r="T368">
        <f t="shared" ref="T368:T392" si="121">+IF(R368=0,S368,S368+R368)-(N368-O368)</f>
        <v>68387.199999999997</v>
      </c>
      <c r="U368">
        <f t="shared" ref="U368:U392" si="122">+IF(R368=0,0,((N368-S368)+(N368-T368))/2)</f>
        <v>0</v>
      </c>
    </row>
    <row r="369" spans="1:24">
      <c r="A369" t="s">
        <v>52</v>
      </c>
      <c r="B369" t="s">
        <v>421</v>
      </c>
      <c r="C369">
        <v>5613</v>
      </c>
      <c r="D369" t="s">
        <v>59</v>
      </c>
      <c r="G369">
        <v>2006</v>
      </c>
      <c r="H369">
        <v>12</v>
      </c>
      <c r="I369">
        <v>0.2</v>
      </c>
      <c r="J369" t="s">
        <v>30</v>
      </c>
      <c r="K369">
        <v>7</v>
      </c>
      <c r="L369">
        <f t="shared" si="114"/>
        <v>2013</v>
      </c>
      <c r="M369">
        <f t="shared" si="115"/>
        <v>2014</v>
      </c>
      <c r="N369">
        <v>107413.8</v>
      </c>
      <c r="O369">
        <f t="shared" si="116"/>
        <v>85931.040000000008</v>
      </c>
      <c r="P369">
        <f t="shared" si="117"/>
        <v>1022.9885714285715</v>
      </c>
      <c r="Q369">
        <f t="shared" si="118"/>
        <v>12275.862857142858</v>
      </c>
      <c r="R369">
        <f t="shared" si="119"/>
        <v>0</v>
      </c>
      <c r="S369">
        <f t="shared" si="120"/>
        <v>107413.8</v>
      </c>
      <c r="T369">
        <f t="shared" si="121"/>
        <v>85931.040000000008</v>
      </c>
      <c r="U369">
        <f t="shared" si="122"/>
        <v>0</v>
      </c>
      <c r="W369" t="s">
        <v>428</v>
      </c>
    </row>
    <row r="370" spans="1:24">
      <c r="A370" t="s">
        <v>52</v>
      </c>
      <c r="B370" t="s">
        <v>421</v>
      </c>
      <c r="C370">
        <v>5613</v>
      </c>
      <c r="D370" t="s">
        <v>167</v>
      </c>
      <c r="G370">
        <v>2007</v>
      </c>
      <c r="H370">
        <v>1</v>
      </c>
      <c r="I370">
        <v>0</v>
      </c>
      <c r="J370" t="s">
        <v>30</v>
      </c>
      <c r="K370">
        <v>5</v>
      </c>
      <c r="L370">
        <f t="shared" si="114"/>
        <v>2012</v>
      </c>
      <c r="M370">
        <f t="shared" si="115"/>
        <v>2012.0833333333333</v>
      </c>
      <c r="N370">
        <v>995.37</v>
      </c>
      <c r="O370">
        <f t="shared" si="116"/>
        <v>995.37</v>
      </c>
      <c r="P370">
        <f t="shared" si="117"/>
        <v>16.589500000000001</v>
      </c>
      <c r="Q370">
        <f t="shared" si="118"/>
        <v>199.07400000000001</v>
      </c>
      <c r="R370">
        <f t="shared" si="119"/>
        <v>0</v>
      </c>
      <c r="S370">
        <f t="shared" si="120"/>
        <v>995.37</v>
      </c>
      <c r="T370">
        <f t="shared" si="121"/>
        <v>995.37</v>
      </c>
      <c r="U370">
        <f t="shared" si="122"/>
        <v>0</v>
      </c>
      <c r="W370" t="s">
        <v>428</v>
      </c>
    </row>
    <row r="371" spans="1:24">
      <c r="A371" t="s">
        <v>161</v>
      </c>
      <c r="B371" t="s">
        <v>344</v>
      </c>
      <c r="C371">
        <v>9993</v>
      </c>
      <c r="D371" t="s">
        <v>324</v>
      </c>
      <c r="G371">
        <v>1994</v>
      </c>
      <c r="H371">
        <v>1</v>
      </c>
      <c r="I371">
        <v>0.33</v>
      </c>
      <c r="J371" t="s">
        <v>30</v>
      </c>
      <c r="K371">
        <v>5</v>
      </c>
      <c r="L371">
        <f t="shared" si="114"/>
        <v>1999</v>
      </c>
      <c r="M371">
        <f t="shared" si="115"/>
        <v>1999.0833333333333</v>
      </c>
      <c r="N371">
        <v>13500</v>
      </c>
      <c r="O371">
        <f t="shared" si="116"/>
        <v>9045</v>
      </c>
      <c r="P371">
        <f t="shared" si="117"/>
        <v>150.75</v>
      </c>
      <c r="Q371">
        <f t="shared" si="118"/>
        <v>1809</v>
      </c>
      <c r="R371">
        <f t="shared" si="119"/>
        <v>0</v>
      </c>
      <c r="S371">
        <f t="shared" si="120"/>
        <v>13500</v>
      </c>
      <c r="T371">
        <f t="shared" si="121"/>
        <v>9045</v>
      </c>
      <c r="U371">
        <f t="shared" si="122"/>
        <v>0</v>
      </c>
      <c r="X371" t="s">
        <v>428</v>
      </c>
    </row>
    <row r="372" spans="1:24">
      <c r="A372" t="s">
        <v>39</v>
      </c>
      <c r="B372" t="s">
        <v>421</v>
      </c>
      <c r="C372">
        <v>8836</v>
      </c>
      <c r="D372" t="s">
        <v>317</v>
      </c>
      <c r="E372">
        <v>66914</v>
      </c>
      <c r="G372">
        <v>1999</v>
      </c>
      <c r="H372">
        <v>1</v>
      </c>
      <c r="I372">
        <v>0</v>
      </c>
      <c r="J372" t="s">
        <v>30</v>
      </c>
      <c r="K372">
        <v>3</v>
      </c>
      <c r="L372">
        <f t="shared" si="114"/>
        <v>2002</v>
      </c>
      <c r="M372">
        <f t="shared" si="115"/>
        <v>2002.0833333333333</v>
      </c>
      <c r="N372">
        <v>23650</v>
      </c>
      <c r="O372">
        <f t="shared" si="116"/>
        <v>23650</v>
      </c>
      <c r="P372">
        <f t="shared" si="117"/>
        <v>656.94444444444446</v>
      </c>
      <c r="Q372">
        <f t="shared" si="118"/>
        <v>7883.3333333333339</v>
      </c>
      <c r="R372">
        <f t="shared" si="119"/>
        <v>0</v>
      </c>
      <c r="S372">
        <f t="shared" si="120"/>
        <v>23650</v>
      </c>
      <c r="T372">
        <f t="shared" si="121"/>
        <v>23650</v>
      </c>
      <c r="U372">
        <f t="shared" si="122"/>
        <v>0</v>
      </c>
      <c r="W372" t="s">
        <v>372</v>
      </c>
    </row>
    <row r="373" spans="1:24">
      <c r="A373" t="s">
        <v>39</v>
      </c>
      <c r="B373" t="s">
        <v>421</v>
      </c>
      <c r="C373">
        <v>8836</v>
      </c>
      <c r="D373" t="s">
        <v>323</v>
      </c>
      <c r="E373">
        <v>66915</v>
      </c>
      <c r="G373">
        <v>2009</v>
      </c>
      <c r="H373">
        <v>5</v>
      </c>
      <c r="I373">
        <v>0</v>
      </c>
      <c r="J373" t="s">
        <v>30</v>
      </c>
      <c r="K373">
        <v>3</v>
      </c>
      <c r="L373">
        <f t="shared" si="114"/>
        <v>2012</v>
      </c>
      <c r="M373">
        <f t="shared" si="115"/>
        <v>2012.4166666666667</v>
      </c>
      <c r="N373">
        <v>2698.23</v>
      </c>
      <c r="O373">
        <f t="shared" si="116"/>
        <v>2698.23</v>
      </c>
      <c r="P373">
        <f t="shared" si="117"/>
        <v>74.950833333333335</v>
      </c>
      <c r="Q373">
        <f t="shared" si="118"/>
        <v>899.41000000000008</v>
      </c>
      <c r="R373">
        <f t="shared" si="119"/>
        <v>0</v>
      </c>
      <c r="S373">
        <f t="shared" si="120"/>
        <v>2698.23</v>
      </c>
      <c r="T373">
        <f t="shared" si="121"/>
        <v>2698.23</v>
      </c>
      <c r="U373">
        <f t="shared" si="122"/>
        <v>0</v>
      </c>
      <c r="W373" t="s">
        <v>372</v>
      </c>
    </row>
    <row r="374" spans="1:24">
      <c r="A374" t="s">
        <v>52</v>
      </c>
      <c r="B374" t="s">
        <v>421</v>
      </c>
      <c r="C374">
        <v>8821</v>
      </c>
      <c r="D374" t="s">
        <v>242</v>
      </c>
      <c r="E374">
        <v>66908</v>
      </c>
      <c r="G374">
        <v>1994</v>
      </c>
      <c r="H374">
        <v>4</v>
      </c>
      <c r="I374">
        <v>0</v>
      </c>
      <c r="J374" t="s">
        <v>30</v>
      </c>
      <c r="K374">
        <v>7</v>
      </c>
      <c r="L374">
        <f t="shared" si="114"/>
        <v>2001</v>
      </c>
      <c r="M374">
        <f t="shared" si="115"/>
        <v>2001.3333333333333</v>
      </c>
      <c r="N374">
        <v>18681</v>
      </c>
      <c r="O374">
        <f t="shared" si="116"/>
        <v>18681</v>
      </c>
      <c r="P374">
        <f t="shared" si="117"/>
        <v>222.39285714285714</v>
      </c>
      <c r="Q374">
        <f t="shared" si="118"/>
        <v>2668.7142857142858</v>
      </c>
      <c r="R374">
        <f t="shared" si="119"/>
        <v>0</v>
      </c>
      <c r="S374">
        <f t="shared" si="120"/>
        <v>18681</v>
      </c>
      <c r="T374">
        <f t="shared" si="121"/>
        <v>18681</v>
      </c>
      <c r="U374">
        <f t="shared" si="122"/>
        <v>0</v>
      </c>
      <c r="W374" t="s">
        <v>372</v>
      </c>
    </row>
    <row r="375" spans="1:24">
      <c r="A375" t="s">
        <v>47</v>
      </c>
      <c r="B375" t="s">
        <v>343</v>
      </c>
      <c r="C375">
        <v>4520</v>
      </c>
      <c r="D375" t="s">
        <v>802</v>
      </c>
      <c r="E375">
        <v>124647</v>
      </c>
      <c r="G375">
        <v>2008</v>
      </c>
      <c r="H375">
        <v>11</v>
      </c>
      <c r="I375">
        <v>0.33</v>
      </c>
      <c r="J375" t="s">
        <v>30</v>
      </c>
      <c r="K375">
        <v>5</v>
      </c>
      <c r="L375">
        <f t="shared" si="114"/>
        <v>2013</v>
      </c>
      <c r="M375">
        <f t="shared" si="115"/>
        <v>2013.9166666666667</v>
      </c>
      <c r="N375">
        <v>66500</v>
      </c>
      <c r="O375">
        <f t="shared" si="116"/>
        <v>44555</v>
      </c>
      <c r="P375">
        <f t="shared" si="117"/>
        <v>742.58333333333337</v>
      </c>
      <c r="Q375">
        <f t="shared" si="118"/>
        <v>8911</v>
      </c>
      <c r="R375">
        <f t="shared" si="119"/>
        <v>0</v>
      </c>
      <c r="S375">
        <f t="shared" si="120"/>
        <v>66500</v>
      </c>
      <c r="T375">
        <f t="shared" si="121"/>
        <v>44555</v>
      </c>
      <c r="U375">
        <f t="shared" si="122"/>
        <v>0</v>
      </c>
    </row>
    <row r="376" spans="1:24">
      <c r="A376" t="s">
        <v>39</v>
      </c>
      <c r="B376" t="s">
        <v>421</v>
      </c>
      <c r="C376">
        <v>8842</v>
      </c>
      <c r="D376" t="s">
        <v>317</v>
      </c>
      <c r="E376">
        <v>66918</v>
      </c>
      <c r="G376">
        <v>1999</v>
      </c>
      <c r="H376">
        <v>1</v>
      </c>
      <c r="I376">
        <v>0.2</v>
      </c>
      <c r="J376" t="s">
        <v>30</v>
      </c>
      <c r="K376">
        <v>7</v>
      </c>
      <c r="L376">
        <f t="shared" si="114"/>
        <v>2006</v>
      </c>
      <c r="M376">
        <f t="shared" si="115"/>
        <v>2006.0833333333333</v>
      </c>
      <c r="N376">
        <v>23650</v>
      </c>
      <c r="O376">
        <f t="shared" si="116"/>
        <v>18920</v>
      </c>
      <c r="P376">
        <f t="shared" si="117"/>
        <v>225.23809523809521</v>
      </c>
      <c r="Q376">
        <f t="shared" si="118"/>
        <v>2702.8571428571427</v>
      </c>
      <c r="R376">
        <f t="shared" si="119"/>
        <v>0</v>
      </c>
      <c r="S376">
        <f t="shared" si="120"/>
        <v>23650</v>
      </c>
      <c r="T376">
        <f t="shared" si="121"/>
        <v>18920</v>
      </c>
      <c r="U376">
        <f t="shared" si="122"/>
        <v>0</v>
      </c>
      <c r="W376" t="s">
        <v>372</v>
      </c>
    </row>
    <row r="377" spans="1:24">
      <c r="A377" t="s">
        <v>39</v>
      </c>
      <c r="B377" t="s">
        <v>421</v>
      </c>
      <c r="C377">
        <v>8850</v>
      </c>
      <c r="D377" t="s">
        <v>246</v>
      </c>
      <c r="E377">
        <v>66919</v>
      </c>
      <c r="G377">
        <v>1999</v>
      </c>
      <c r="H377">
        <v>4</v>
      </c>
      <c r="I377">
        <v>0.2</v>
      </c>
      <c r="J377" t="s">
        <v>30</v>
      </c>
      <c r="K377">
        <v>7</v>
      </c>
      <c r="L377">
        <f t="shared" si="114"/>
        <v>2006</v>
      </c>
      <c r="M377">
        <f t="shared" si="115"/>
        <v>2006.3333333333333</v>
      </c>
      <c r="N377">
        <v>26548.2</v>
      </c>
      <c r="O377">
        <f t="shared" si="116"/>
        <v>21238.560000000001</v>
      </c>
      <c r="P377">
        <f t="shared" si="117"/>
        <v>252.84000000000003</v>
      </c>
      <c r="Q377">
        <f t="shared" si="118"/>
        <v>3034.0800000000004</v>
      </c>
      <c r="R377">
        <f t="shared" si="119"/>
        <v>0</v>
      </c>
      <c r="S377">
        <f t="shared" si="120"/>
        <v>26548.2</v>
      </c>
      <c r="T377">
        <f t="shared" si="121"/>
        <v>21238.560000000001</v>
      </c>
      <c r="U377">
        <f t="shared" si="122"/>
        <v>0</v>
      </c>
      <c r="W377" t="s">
        <v>372</v>
      </c>
    </row>
    <row r="378" spans="1:24">
      <c r="A378" t="s">
        <v>39</v>
      </c>
      <c r="B378" t="s">
        <v>421</v>
      </c>
      <c r="C378">
        <v>8868</v>
      </c>
      <c r="D378" t="s">
        <v>328</v>
      </c>
      <c r="E378">
        <v>66923</v>
      </c>
      <c r="G378">
        <v>2000</v>
      </c>
      <c r="H378">
        <v>5</v>
      </c>
      <c r="I378">
        <v>0.2</v>
      </c>
      <c r="J378" t="s">
        <v>30</v>
      </c>
      <c r="K378">
        <v>7</v>
      </c>
      <c r="L378">
        <f t="shared" si="114"/>
        <v>2007</v>
      </c>
      <c r="M378">
        <f t="shared" si="115"/>
        <v>2007.4166666666667</v>
      </c>
      <c r="N378">
        <v>33350.800000000003</v>
      </c>
      <c r="O378">
        <f t="shared" si="116"/>
        <v>26680.640000000003</v>
      </c>
      <c r="P378">
        <f t="shared" si="117"/>
        <v>317.62666666666672</v>
      </c>
      <c r="Q378">
        <f t="shared" si="118"/>
        <v>3811.5200000000004</v>
      </c>
      <c r="R378">
        <f t="shared" si="119"/>
        <v>0</v>
      </c>
      <c r="S378">
        <f t="shared" si="120"/>
        <v>33350.800000000003</v>
      </c>
      <c r="T378">
        <f t="shared" si="121"/>
        <v>26680.640000000003</v>
      </c>
      <c r="U378">
        <f t="shared" si="122"/>
        <v>0</v>
      </c>
      <c r="W378" t="s">
        <v>372</v>
      </c>
    </row>
    <row r="379" spans="1:24">
      <c r="A379" t="s">
        <v>52</v>
      </c>
      <c r="B379" t="s">
        <v>421</v>
      </c>
      <c r="C379">
        <v>8830</v>
      </c>
      <c r="D379" t="s">
        <v>280</v>
      </c>
      <c r="E379">
        <v>66911</v>
      </c>
      <c r="G379">
        <v>1994</v>
      </c>
      <c r="H379">
        <v>10</v>
      </c>
      <c r="I379">
        <v>0.2</v>
      </c>
      <c r="J379" t="s">
        <v>30</v>
      </c>
      <c r="K379">
        <v>7</v>
      </c>
      <c r="L379">
        <f t="shared" si="114"/>
        <v>2001</v>
      </c>
      <c r="M379">
        <f t="shared" si="115"/>
        <v>2001.8333333333333</v>
      </c>
      <c r="N379">
        <v>20142</v>
      </c>
      <c r="O379">
        <f t="shared" si="116"/>
        <v>16113.6</v>
      </c>
      <c r="P379">
        <f t="shared" si="117"/>
        <v>191.82857142857142</v>
      </c>
      <c r="Q379">
        <f t="shared" si="118"/>
        <v>2301.9428571428571</v>
      </c>
      <c r="R379">
        <f t="shared" si="119"/>
        <v>0</v>
      </c>
      <c r="S379">
        <f t="shared" si="120"/>
        <v>20142</v>
      </c>
      <c r="T379">
        <f t="shared" si="121"/>
        <v>16113.6</v>
      </c>
      <c r="U379">
        <f t="shared" si="122"/>
        <v>0</v>
      </c>
      <c r="W379" t="s">
        <v>372</v>
      </c>
    </row>
    <row r="380" spans="1:24">
      <c r="A380" t="s">
        <v>52</v>
      </c>
      <c r="B380" t="s">
        <v>421</v>
      </c>
      <c r="C380">
        <v>5592</v>
      </c>
      <c r="D380" t="s">
        <v>54</v>
      </c>
      <c r="E380">
        <v>90565</v>
      </c>
      <c r="G380">
        <v>2005</v>
      </c>
      <c r="H380">
        <v>12</v>
      </c>
      <c r="I380">
        <v>0.2</v>
      </c>
      <c r="J380" t="s">
        <v>30</v>
      </c>
      <c r="K380">
        <v>7</v>
      </c>
      <c r="L380">
        <f t="shared" si="114"/>
        <v>2012</v>
      </c>
      <c r="M380">
        <f t="shared" si="115"/>
        <v>2013</v>
      </c>
      <c r="N380">
        <v>103617.28</v>
      </c>
      <c r="O380">
        <f t="shared" si="116"/>
        <v>82893.823999999993</v>
      </c>
      <c r="P380">
        <f t="shared" si="117"/>
        <v>986.83123809523795</v>
      </c>
      <c r="Q380">
        <f t="shared" si="118"/>
        <v>11841.974857142855</v>
      </c>
      <c r="R380">
        <f t="shared" si="119"/>
        <v>0</v>
      </c>
      <c r="S380">
        <f t="shared" si="120"/>
        <v>103617.28</v>
      </c>
      <c r="T380">
        <f t="shared" si="121"/>
        <v>82893.823999999993</v>
      </c>
      <c r="U380">
        <f t="shared" si="122"/>
        <v>0</v>
      </c>
      <c r="W380" t="s">
        <v>428</v>
      </c>
    </row>
    <row r="381" spans="1:24">
      <c r="A381" t="s">
        <v>39</v>
      </c>
      <c r="C381">
        <v>8014</v>
      </c>
      <c r="D381" t="s">
        <v>822</v>
      </c>
      <c r="E381">
        <v>130910</v>
      </c>
      <c r="G381">
        <v>2008</v>
      </c>
      <c r="H381">
        <v>11</v>
      </c>
      <c r="I381">
        <v>0.33</v>
      </c>
      <c r="J381" t="s">
        <v>30</v>
      </c>
      <c r="K381">
        <v>5</v>
      </c>
      <c r="L381">
        <f t="shared" si="114"/>
        <v>2013</v>
      </c>
      <c r="M381">
        <f t="shared" si="115"/>
        <v>2013.9166666666667</v>
      </c>
      <c r="N381">
        <v>15000</v>
      </c>
      <c r="O381">
        <f t="shared" si="116"/>
        <v>10050</v>
      </c>
      <c r="P381">
        <f t="shared" si="117"/>
        <v>167.5</v>
      </c>
      <c r="Q381">
        <f t="shared" si="118"/>
        <v>2010</v>
      </c>
      <c r="R381">
        <f t="shared" si="119"/>
        <v>0</v>
      </c>
      <c r="S381">
        <f t="shared" si="120"/>
        <v>15000</v>
      </c>
      <c r="T381">
        <f t="shared" si="121"/>
        <v>10050</v>
      </c>
      <c r="U381">
        <f t="shared" si="122"/>
        <v>0</v>
      </c>
    </row>
    <row r="382" spans="1:24">
      <c r="A382" t="s">
        <v>39</v>
      </c>
      <c r="C382">
        <v>8014</v>
      </c>
      <c r="D382" t="s">
        <v>821</v>
      </c>
      <c r="E382">
        <v>130911</v>
      </c>
      <c r="F382">
        <v>130910</v>
      </c>
      <c r="G382">
        <v>2016</v>
      </c>
      <c r="H382">
        <v>1</v>
      </c>
      <c r="I382">
        <v>0</v>
      </c>
      <c r="J382" t="s">
        <v>30</v>
      </c>
      <c r="K382">
        <v>3</v>
      </c>
      <c r="L382">
        <f t="shared" si="114"/>
        <v>2019</v>
      </c>
      <c r="M382">
        <f t="shared" si="115"/>
        <v>2019.0833333333333</v>
      </c>
      <c r="N382">
        <v>43379.99</v>
      </c>
      <c r="O382">
        <f t="shared" si="116"/>
        <v>43379.99</v>
      </c>
      <c r="P382">
        <f t="shared" si="117"/>
        <v>1204.9997222222221</v>
      </c>
      <c r="Q382">
        <f t="shared" si="118"/>
        <v>14459.996666666666</v>
      </c>
      <c r="R382">
        <f t="shared" si="119"/>
        <v>14459.996666666666</v>
      </c>
      <c r="S382">
        <f t="shared" si="120"/>
        <v>14459.996666666666</v>
      </c>
      <c r="T382">
        <f t="shared" si="121"/>
        <v>28919.993333333332</v>
      </c>
      <c r="U382">
        <f t="shared" si="122"/>
        <v>21689.994999999999</v>
      </c>
    </row>
    <row r="383" spans="1:24">
      <c r="A383" t="s">
        <v>39</v>
      </c>
      <c r="B383" t="s">
        <v>421</v>
      </c>
      <c r="C383">
        <v>8015</v>
      </c>
      <c r="D383" t="s">
        <v>540</v>
      </c>
      <c r="E383">
        <v>93667</v>
      </c>
      <c r="G383">
        <v>1998</v>
      </c>
      <c r="H383">
        <v>8</v>
      </c>
      <c r="I383">
        <v>0.2</v>
      </c>
      <c r="J383" t="s">
        <v>30</v>
      </c>
      <c r="K383">
        <v>7</v>
      </c>
      <c r="L383">
        <f t="shared" si="114"/>
        <v>2005</v>
      </c>
      <c r="M383">
        <f t="shared" si="115"/>
        <v>2005.6666666666667</v>
      </c>
      <c r="N383">
        <v>70352.53</v>
      </c>
      <c r="O383">
        <f t="shared" si="116"/>
        <v>56282.023999999998</v>
      </c>
      <c r="P383">
        <f t="shared" si="117"/>
        <v>670.02409523809524</v>
      </c>
      <c r="Q383">
        <f t="shared" si="118"/>
        <v>8040.2891428571429</v>
      </c>
      <c r="R383">
        <f t="shared" si="119"/>
        <v>0</v>
      </c>
      <c r="S383">
        <f t="shared" si="120"/>
        <v>70352.53</v>
      </c>
      <c r="T383">
        <f t="shared" si="121"/>
        <v>56282.023999999998</v>
      </c>
      <c r="U383">
        <f t="shared" si="122"/>
        <v>0</v>
      </c>
    </row>
    <row r="384" spans="1:24">
      <c r="A384" t="s">
        <v>39</v>
      </c>
      <c r="C384">
        <v>8015</v>
      </c>
      <c r="D384" t="s">
        <v>821</v>
      </c>
      <c r="E384">
        <v>128757</v>
      </c>
      <c r="F384">
        <v>93667</v>
      </c>
      <c r="G384">
        <v>2015</v>
      </c>
      <c r="H384">
        <v>12</v>
      </c>
      <c r="I384">
        <v>0</v>
      </c>
      <c r="J384" t="s">
        <v>30</v>
      </c>
      <c r="K384">
        <v>3</v>
      </c>
      <c r="L384">
        <f t="shared" si="114"/>
        <v>2018</v>
      </c>
      <c r="M384">
        <f t="shared" si="115"/>
        <v>2019</v>
      </c>
      <c r="N384">
        <v>29286.25</v>
      </c>
      <c r="O384">
        <f t="shared" si="116"/>
        <v>29286.25</v>
      </c>
      <c r="P384">
        <f t="shared" si="117"/>
        <v>813.50694444444446</v>
      </c>
      <c r="Q384">
        <f t="shared" si="118"/>
        <v>9762.0833333333339</v>
      </c>
      <c r="R384">
        <f t="shared" si="119"/>
        <v>9762.0833333333339</v>
      </c>
      <c r="S384">
        <f t="shared" si="120"/>
        <v>19524.166666666668</v>
      </c>
      <c r="T384">
        <f t="shared" si="121"/>
        <v>29286.25</v>
      </c>
      <c r="U384">
        <f t="shared" si="122"/>
        <v>4881.0416666666661</v>
      </c>
    </row>
    <row r="385" spans="1:24">
      <c r="A385" t="s">
        <v>39</v>
      </c>
      <c r="B385" t="s">
        <v>421</v>
      </c>
      <c r="C385">
        <v>8016</v>
      </c>
      <c r="D385" t="s">
        <v>541</v>
      </c>
      <c r="E385">
        <v>93668</v>
      </c>
      <c r="G385">
        <v>1998</v>
      </c>
      <c r="H385">
        <v>8</v>
      </c>
      <c r="I385">
        <v>0.2</v>
      </c>
      <c r="J385" t="s">
        <v>30</v>
      </c>
      <c r="K385">
        <v>7</v>
      </c>
      <c r="L385">
        <f t="shared" si="114"/>
        <v>2005</v>
      </c>
      <c r="M385">
        <f t="shared" si="115"/>
        <v>2005.6666666666667</v>
      </c>
      <c r="N385">
        <v>70661.039999999994</v>
      </c>
      <c r="O385">
        <f t="shared" si="116"/>
        <v>56528.831999999995</v>
      </c>
      <c r="P385">
        <f t="shared" si="117"/>
        <v>672.96228571428571</v>
      </c>
      <c r="Q385">
        <f t="shared" si="118"/>
        <v>8075.5474285714281</v>
      </c>
      <c r="R385">
        <f t="shared" si="119"/>
        <v>0</v>
      </c>
      <c r="S385">
        <f t="shared" si="120"/>
        <v>70661.039999999994</v>
      </c>
      <c r="T385">
        <f t="shared" si="121"/>
        <v>56528.831999999995</v>
      </c>
      <c r="U385">
        <f t="shared" si="122"/>
        <v>0</v>
      </c>
    </row>
    <row r="386" spans="1:24">
      <c r="A386" t="s">
        <v>39</v>
      </c>
      <c r="C386">
        <v>8016</v>
      </c>
      <c r="D386" t="s">
        <v>821</v>
      </c>
      <c r="E386">
        <v>128758</v>
      </c>
      <c r="F386">
        <v>93668</v>
      </c>
      <c r="G386">
        <v>2015</v>
      </c>
      <c r="H386">
        <v>12</v>
      </c>
      <c r="I386">
        <v>0</v>
      </c>
      <c r="J386" t="s">
        <v>30</v>
      </c>
      <c r="K386">
        <v>3</v>
      </c>
      <c r="L386">
        <f t="shared" si="114"/>
        <v>2018</v>
      </c>
      <c r="M386">
        <f t="shared" si="115"/>
        <v>2019</v>
      </c>
      <c r="N386">
        <v>25074.35</v>
      </c>
      <c r="O386">
        <f t="shared" si="116"/>
        <v>25074.35</v>
      </c>
      <c r="P386">
        <f t="shared" si="117"/>
        <v>696.50972222222219</v>
      </c>
      <c r="Q386">
        <f t="shared" si="118"/>
        <v>8358.1166666666668</v>
      </c>
      <c r="R386">
        <f t="shared" si="119"/>
        <v>8358.1166666666668</v>
      </c>
      <c r="S386">
        <f t="shared" si="120"/>
        <v>16716.233333333334</v>
      </c>
      <c r="T386">
        <f t="shared" si="121"/>
        <v>25074.35</v>
      </c>
      <c r="U386">
        <f t="shared" si="122"/>
        <v>4179.0583333333325</v>
      </c>
    </row>
    <row r="387" spans="1:24">
      <c r="A387" t="s">
        <v>179</v>
      </c>
      <c r="B387" t="s">
        <v>342</v>
      </c>
      <c r="C387">
        <v>3568</v>
      </c>
      <c r="D387" t="s">
        <v>185</v>
      </c>
      <c r="E387">
        <v>60743</v>
      </c>
      <c r="G387">
        <v>2002</v>
      </c>
      <c r="H387">
        <v>6</v>
      </c>
      <c r="I387">
        <v>0.2</v>
      </c>
      <c r="J387" t="s">
        <v>30</v>
      </c>
      <c r="K387">
        <v>7</v>
      </c>
      <c r="L387">
        <f t="shared" si="114"/>
        <v>2009</v>
      </c>
      <c r="M387">
        <f t="shared" si="115"/>
        <v>2009.5</v>
      </c>
      <c r="N387">
        <v>159699.16</v>
      </c>
      <c r="O387">
        <f t="shared" si="116"/>
        <v>127759.32800000001</v>
      </c>
      <c r="P387">
        <f t="shared" si="117"/>
        <v>1520.9443809523809</v>
      </c>
      <c r="Q387">
        <f t="shared" si="118"/>
        <v>18251.332571428571</v>
      </c>
      <c r="R387">
        <f t="shared" si="119"/>
        <v>0</v>
      </c>
      <c r="S387">
        <f t="shared" si="120"/>
        <v>159699.16</v>
      </c>
      <c r="T387">
        <f t="shared" si="121"/>
        <v>127759.32800000001</v>
      </c>
      <c r="U387">
        <f t="shared" si="122"/>
        <v>0</v>
      </c>
      <c r="W387" t="s">
        <v>428</v>
      </c>
    </row>
    <row r="388" spans="1:24">
      <c r="A388" t="s">
        <v>161</v>
      </c>
      <c r="C388">
        <v>3568</v>
      </c>
      <c r="D388" t="s">
        <v>321</v>
      </c>
      <c r="E388">
        <v>65010</v>
      </c>
      <c r="F388">
        <v>60743</v>
      </c>
      <c r="G388">
        <v>2009</v>
      </c>
      <c r="H388">
        <v>5</v>
      </c>
      <c r="I388">
        <v>0</v>
      </c>
      <c r="J388" t="s">
        <v>30</v>
      </c>
      <c r="K388">
        <v>3</v>
      </c>
      <c r="L388">
        <f t="shared" si="114"/>
        <v>2012</v>
      </c>
      <c r="M388">
        <f t="shared" si="115"/>
        <v>2012.4166666666667</v>
      </c>
      <c r="N388">
        <v>3229.7</v>
      </c>
      <c r="O388">
        <f t="shared" si="116"/>
        <v>3229.7</v>
      </c>
      <c r="P388">
        <f t="shared" si="117"/>
        <v>89.713888888888889</v>
      </c>
      <c r="Q388">
        <f t="shared" si="118"/>
        <v>1076.5666666666666</v>
      </c>
      <c r="R388">
        <f t="shared" si="119"/>
        <v>0</v>
      </c>
      <c r="S388">
        <f t="shared" si="120"/>
        <v>3229.7</v>
      </c>
      <c r="T388">
        <f t="shared" si="121"/>
        <v>3229.7</v>
      </c>
      <c r="U388">
        <f t="shared" si="122"/>
        <v>0</v>
      </c>
    </row>
    <row r="389" spans="1:24">
      <c r="A389" t="s">
        <v>34</v>
      </c>
      <c r="B389" t="s">
        <v>342</v>
      </c>
      <c r="C389">
        <v>3589</v>
      </c>
      <c r="D389" t="s">
        <v>50</v>
      </c>
      <c r="E389">
        <v>60765</v>
      </c>
      <c r="G389">
        <v>2006</v>
      </c>
      <c r="H389">
        <v>6</v>
      </c>
      <c r="I389">
        <v>0.2</v>
      </c>
      <c r="J389" t="s">
        <v>30</v>
      </c>
      <c r="K389">
        <v>7</v>
      </c>
      <c r="L389">
        <f t="shared" si="114"/>
        <v>2013</v>
      </c>
      <c r="M389">
        <f t="shared" si="115"/>
        <v>2013.5</v>
      </c>
      <c r="N389">
        <v>183553.22</v>
      </c>
      <c r="O389">
        <f t="shared" si="116"/>
        <v>146842.576</v>
      </c>
      <c r="P389">
        <f t="shared" si="117"/>
        <v>1748.1259047619048</v>
      </c>
      <c r="Q389">
        <f t="shared" si="118"/>
        <v>20977.510857142857</v>
      </c>
      <c r="R389">
        <f t="shared" si="119"/>
        <v>0</v>
      </c>
      <c r="S389">
        <f t="shared" si="120"/>
        <v>183553.22</v>
      </c>
      <c r="T389">
        <f t="shared" si="121"/>
        <v>146842.576</v>
      </c>
      <c r="U389">
        <f t="shared" si="122"/>
        <v>0</v>
      </c>
      <c r="X389" t="s">
        <v>428</v>
      </c>
    </row>
    <row r="390" spans="1:24">
      <c r="A390" t="s">
        <v>34</v>
      </c>
      <c r="B390" t="s">
        <v>342</v>
      </c>
      <c r="C390">
        <v>3597</v>
      </c>
      <c r="D390" t="s">
        <v>208</v>
      </c>
      <c r="E390">
        <v>66902</v>
      </c>
      <c r="G390">
        <v>2006</v>
      </c>
      <c r="H390">
        <v>7</v>
      </c>
      <c r="I390">
        <v>0.2</v>
      </c>
      <c r="J390" t="s">
        <v>30</v>
      </c>
      <c r="K390">
        <v>7</v>
      </c>
      <c r="L390">
        <f t="shared" si="114"/>
        <v>2013</v>
      </c>
      <c r="M390">
        <f t="shared" si="115"/>
        <v>2013.5833333333333</v>
      </c>
      <c r="N390">
        <v>195928.31</v>
      </c>
      <c r="O390">
        <f t="shared" si="116"/>
        <v>156742.64799999999</v>
      </c>
      <c r="P390">
        <f t="shared" si="117"/>
        <v>1865.9839047619046</v>
      </c>
      <c r="Q390">
        <f t="shared" si="118"/>
        <v>22391.806857142856</v>
      </c>
      <c r="R390">
        <f t="shared" si="119"/>
        <v>0</v>
      </c>
      <c r="S390">
        <f t="shared" si="120"/>
        <v>195928.31</v>
      </c>
      <c r="T390">
        <f t="shared" si="121"/>
        <v>156742.64799999999</v>
      </c>
      <c r="U390">
        <f t="shared" si="122"/>
        <v>0</v>
      </c>
      <c r="X390" t="s">
        <v>427</v>
      </c>
    </row>
    <row r="391" spans="1:24">
      <c r="A391" t="s">
        <v>34</v>
      </c>
      <c r="B391" t="s">
        <v>341</v>
      </c>
      <c r="C391">
        <v>1030</v>
      </c>
      <c r="D391" t="s">
        <v>768</v>
      </c>
      <c r="E391">
        <v>90540</v>
      </c>
      <c r="G391">
        <v>2000</v>
      </c>
      <c r="H391">
        <v>6</v>
      </c>
      <c r="I391">
        <v>0.2</v>
      </c>
      <c r="J391" t="s">
        <v>30</v>
      </c>
      <c r="K391">
        <v>7</v>
      </c>
      <c r="L391">
        <f t="shared" si="114"/>
        <v>2007</v>
      </c>
      <c r="M391">
        <f t="shared" si="115"/>
        <v>2007.5</v>
      </c>
      <c r="N391">
        <v>95126.42</v>
      </c>
      <c r="O391">
        <f t="shared" si="116"/>
        <v>76101.135999999999</v>
      </c>
      <c r="P391">
        <f t="shared" si="117"/>
        <v>905.96590476190477</v>
      </c>
      <c r="Q391">
        <f t="shared" si="118"/>
        <v>10871.590857142857</v>
      </c>
      <c r="R391">
        <f t="shared" si="119"/>
        <v>0</v>
      </c>
      <c r="S391">
        <f t="shared" si="120"/>
        <v>95126.42</v>
      </c>
      <c r="T391">
        <f t="shared" si="121"/>
        <v>76101.135999999999</v>
      </c>
      <c r="U391">
        <f t="shared" si="122"/>
        <v>0</v>
      </c>
      <c r="X391" t="s">
        <v>427</v>
      </c>
    </row>
    <row r="392" spans="1:24">
      <c r="B392" t="s">
        <v>353</v>
      </c>
      <c r="C392">
        <v>7379</v>
      </c>
      <c r="D392" t="s">
        <v>546</v>
      </c>
      <c r="E392">
        <v>86833</v>
      </c>
      <c r="G392">
        <v>2000</v>
      </c>
      <c r="H392">
        <v>4</v>
      </c>
      <c r="I392">
        <v>0.2</v>
      </c>
      <c r="J392" t="s">
        <v>30</v>
      </c>
      <c r="K392">
        <v>7</v>
      </c>
      <c r="L392">
        <f t="shared" si="114"/>
        <v>2007</v>
      </c>
      <c r="M392">
        <f t="shared" si="115"/>
        <v>2007.3333333333333</v>
      </c>
      <c r="N392">
        <v>11133.99</v>
      </c>
      <c r="O392">
        <f t="shared" si="116"/>
        <v>8907.1919999999991</v>
      </c>
      <c r="P392">
        <f t="shared" si="117"/>
        <v>106.038</v>
      </c>
      <c r="Q392">
        <f t="shared" si="118"/>
        <v>1272.4559999999999</v>
      </c>
      <c r="R392">
        <f t="shared" si="119"/>
        <v>0</v>
      </c>
      <c r="S392">
        <f t="shared" si="120"/>
        <v>11133.99</v>
      </c>
      <c r="T392">
        <f t="shared" si="121"/>
        <v>8907.1919999999991</v>
      </c>
      <c r="U392">
        <f t="shared" si="122"/>
        <v>0</v>
      </c>
    </row>
    <row r="395" spans="1:24">
      <c r="B395" t="s">
        <v>884</v>
      </c>
    </row>
    <row r="396" spans="1:24">
      <c r="B396" t="s">
        <v>869</v>
      </c>
      <c r="C396">
        <v>1077</v>
      </c>
      <c r="D396" t="s">
        <v>870</v>
      </c>
      <c r="E396">
        <v>185116</v>
      </c>
      <c r="F396" t="s">
        <v>372</v>
      </c>
      <c r="G396">
        <v>2016</v>
      </c>
      <c r="H396">
        <v>8</v>
      </c>
      <c r="I396">
        <v>0</v>
      </c>
      <c r="J396" t="s">
        <v>30</v>
      </c>
      <c r="K396">
        <v>10</v>
      </c>
      <c r="L396">
        <f t="shared" ref="L396:L427" si="123">G396+K396</f>
        <v>2026</v>
      </c>
      <c r="M396">
        <f t="shared" ref="M396:M427" si="124">+L396+(H396/12)</f>
        <v>2026.6666666666667</v>
      </c>
      <c r="N396">
        <v>172715.61</v>
      </c>
      <c r="O396">
        <f t="shared" ref="O396:O427" si="125">N396-N396*I396</f>
        <v>172715.61</v>
      </c>
      <c r="P396">
        <f t="shared" ref="P396:P427" si="126">O396/K396/12</f>
        <v>1439.2967499999997</v>
      </c>
      <c r="Q396">
        <f t="shared" ref="Q396:Q427" si="127">P396*12</f>
        <v>17271.560999999998</v>
      </c>
      <c r="R396">
        <f t="shared" ref="R396:R427" si="128">+IF(M396&lt;=$O$6,0,IF(L396&gt;$O$5,Q396,(P396*G396)))</f>
        <v>17271.560999999998</v>
      </c>
      <c r="S396">
        <f t="shared" ref="S396:S427" si="129">+IF(R396=0,N396,IF($O$5-G396&lt;1,0,(($O$5-G396)*Q396)))</f>
        <v>17271.560999999998</v>
      </c>
      <c r="T396">
        <f t="shared" ref="T396:T427" si="130">+IF(R396=0,S396,S396+R396)-(N396-O396)</f>
        <v>34543.121999999996</v>
      </c>
      <c r="U396">
        <f t="shared" ref="U396:U427" si="131">+IF(R396=0,0,((N396-S396)+(N396-T396))/2)</f>
        <v>146808.26850000001</v>
      </c>
    </row>
    <row r="397" spans="1:24">
      <c r="C397">
        <v>3637</v>
      </c>
      <c r="D397" t="s">
        <v>746</v>
      </c>
      <c r="E397">
        <v>113082</v>
      </c>
      <c r="G397">
        <v>2013</v>
      </c>
      <c r="H397">
        <v>6</v>
      </c>
      <c r="I397">
        <v>0.33</v>
      </c>
      <c r="J397" t="s">
        <v>30</v>
      </c>
      <c r="K397">
        <v>5</v>
      </c>
      <c r="L397">
        <f t="shared" si="123"/>
        <v>2018</v>
      </c>
      <c r="M397">
        <f t="shared" si="124"/>
        <v>2018.5</v>
      </c>
      <c r="N397">
        <f>181525</f>
        <v>181525</v>
      </c>
      <c r="O397">
        <f t="shared" si="125"/>
        <v>121621.75</v>
      </c>
      <c r="P397">
        <f t="shared" si="126"/>
        <v>2027.0291666666665</v>
      </c>
      <c r="Q397">
        <f t="shared" si="127"/>
        <v>24324.35</v>
      </c>
      <c r="R397">
        <f t="shared" si="128"/>
        <v>24324.35</v>
      </c>
      <c r="S397">
        <f t="shared" si="129"/>
        <v>97297.4</v>
      </c>
      <c r="T397">
        <f t="shared" si="130"/>
        <v>61718.5</v>
      </c>
      <c r="U397">
        <f t="shared" si="131"/>
        <v>102017.05</v>
      </c>
    </row>
    <row r="398" spans="1:24">
      <c r="A398" t="s">
        <v>420</v>
      </c>
      <c r="B398" t="s">
        <v>592</v>
      </c>
      <c r="C398">
        <v>7375</v>
      </c>
      <c r="D398" t="s">
        <v>482</v>
      </c>
      <c r="G398">
        <v>2002</v>
      </c>
      <c r="H398">
        <v>12</v>
      </c>
      <c r="I398">
        <v>0.2</v>
      </c>
      <c r="J398" t="s">
        <v>30</v>
      </c>
      <c r="K398">
        <v>7</v>
      </c>
      <c r="L398">
        <f t="shared" si="123"/>
        <v>2009</v>
      </c>
      <c r="M398">
        <f t="shared" si="124"/>
        <v>2010</v>
      </c>
      <c r="N398">
        <v>332897.53999999998</v>
      </c>
      <c r="O398">
        <f t="shared" si="125"/>
        <v>266318.03200000001</v>
      </c>
      <c r="P398">
        <f t="shared" si="126"/>
        <v>3170.4527619047622</v>
      </c>
      <c r="Q398">
        <f t="shared" si="127"/>
        <v>38045.433142857146</v>
      </c>
      <c r="R398">
        <f t="shared" si="128"/>
        <v>0</v>
      </c>
      <c r="S398">
        <f t="shared" si="129"/>
        <v>332897.53999999998</v>
      </c>
      <c r="T398">
        <f t="shared" si="130"/>
        <v>266318.03200000001</v>
      </c>
      <c r="U398">
        <f t="shared" si="131"/>
        <v>0</v>
      </c>
      <c r="W398" t="s">
        <v>427</v>
      </c>
    </row>
    <row r="399" spans="1:24">
      <c r="A399" t="s">
        <v>420</v>
      </c>
      <c r="B399" t="s">
        <v>592</v>
      </c>
      <c r="C399">
        <v>7375</v>
      </c>
      <c r="D399" t="s">
        <v>168</v>
      </c>
      <c r="G399">
        <v>2009</v>
      </c>
      <c r="H399">
        <v>6</v>
      </c>
      <c r="I399">
        <v>0</v>
      </c>
      <c r="J399" t="s">
        <v>30</v>
      </c>
      <c r="K399">
        <v>3</v>
      </c>
      <c r="L399">
        <f t="shared" si="123"/>
        <v>2012</v>
      </c>
      <c r="M399">
        <f t="shared" si="124"/>
        <v>2012.5</v>
      </c>
      <c r="N399">
        <v>11056.35</v>
      </c>
      <c r="O399">
        <f t="shared" si="125"/>
        <v>11056.35</v>
      </c>
      <c r="P399">
        <f t="shared" si="126"/>
        <v>307.12083333333334</v>
      </c>
      <c r="Q399">
        <f t="shared" si="127"/>
        <v>3685.45</v>
      </c>
      <c r="R399">
        <f t="shared" si="128"/>
        <v>0</v>
      </c>
      <c r="S399">
        <f t="shared" si="129"/>
        <v>11056.35</v>
      </c>
      <c r="T399">
        <f t="shared" si="130"/>
        <v>11056.35</v>
      </c>
      <c r="U399">
        <f t="shared" si="131"/>
        <v>0</v>
      </c>
      <c r="W399" t="s">
        <v>427</v>
      </c>
    </row>
    <row r="400" spans="1:24">
      <c r="A400" t="s">
        <v>420</v>
      </c>
      <c r="B400" t="s">
        <v>592</v>
      </c>
      <c r="C400">
        <v>7389</v>
      </c>
      <c r="D400" t="s">
        <v>481</v>
      </c>
      <c r="G400">
        <v>1996</v>
      </c>
      <c r="H400">
        <v>1</v>
      </c>
      <c r="I400">
        <v>0.2</v>
      </c>
      <c r="J400" t="s">
        <v>30</v>
      </c>
      <c r="K400">
        <v>7</v>
      </c>
      <c r="L400">
        <f t="shared" si="123"/>
        <v>2003</v>
      </c>
      <c r="M400">
        <f t="shared" si="124"/>
        <v>2003.0833333333333</v>
      </c>
      <c r="N400">
        <v>52500</v>
      </c>
      <c r="O400">
        <f t="shared" si="125"/>
        <v>42000</v>
      </c>
      <c r="P400">
        <f t="shared" si="126"/>
        <v>500</v>
      </c>
      <c r="Q400">
        <f t="shared" si="127"/>
        <v>6000</v>
      </c>
      <c r="R400">
        <f t="shared" si="128"/>
        <v>0</v>
      </c>
      <c r="S400">
        <f t="shared" si="129"/>
        <v>52500</v>
      </c>
      <c r="T400">
        <f t="shared" si="130"/>
        <v>42000</v>
      </c>
      <c r="U400">
        <f t="shared" si="131"/>
        <v>0</v>
      </c>
      <c r="W400" t="s">
        <v>427</v>
      </c>
    </row>
    <row r="401" spans="1:23">
      <c r="A401" t="s">
        <v>420</v>
      </c>
      <c r="B401" t="s">
        <v>592</v>
      </c>
      <c r="C401">
        <v>7389</v>
      </c>
      <c r="D401" t="s">
        <v>169</v>
      </c>
      <c r="G401">
        <v>2009</v>
      </c>
      <c r="H401">
        <v>5</v>
      </c>
      <c r="I401">
        <v>0</v>
      </c>
      <c r="J401" t="s">
        <v>30</v>
      </c>
      <c r="K401">
        <v>3</v>
      </c>
      <c r="L401">
        <f t="shared" si="123"/>
        <v>2012</v>
      </c>
      <c r="M401">
        <f t="shared" si="124"/>
        <v>2012.4166666666667</v>
      </c>
      <c r="N401">
        <v>29147.34</v>
      </c>
      <c r="O401">
        <f t="shared" si="125"/>
        <v>29147.34</v>
      </c>
      <c r="P401">
        <f t="shared" si="126"/>
        <v>809.64833333333343</v>
      </c>
      <c r="Q401">
        <f t="shared" si="127"/>
        <v>9715.7800000000007</v>
      </c>
      <c r="R401">
        <f t="shared" si="128"/>
        <v>0</v>
      </c>
      <c r="S401">
        <f t="shared" si="129"/>
        <v>29147.34</v>
      </c>
      <c r="T401">
        <f t="shared" si="130"/>
        <v>29147.34</v>
      </c>
      <c r="U401">
        <f t="shared" si="131"/>
        <v>0</v>
      </c>
      <c r="W401" t="s">
        <v>427</v>
      </c>
    </row>
    <row r="402" spans="1:23">
      <c r="A402" t="s">
        <v>420</v>
      </c>
      <c r="B402" t="s">
        <v>592</v>
      </c>
      <c r="C402">
        <v>8975</v>
      </c>
      <c r="D402" t="s">
        <v>174</v>
      </c>
      <c r="G402">
        <v>2007</v>
      </c>
      <c r="H402">
        <v>12</v>
      </c>
      <c r="I402">
        <v>0</v>
      </c>
      <c r="J402" t="s">
        <v>30</v>
      </c>
      <c r="K402">
        <v>3</v>
      </c>
      <c r="L402">
        <f t="shared" si="123"/>
        <v>2010</v>
      </c>
      <c r="M402">
        <f t="shared" si="124"/>
        <v>2011</v>
      </c>
      <c r="N402">
        <v>4500</v>
      </c>
      <c r="O402">
        <f t="shared" si="125"/>
        <v>4500</v>
      </c>
      <c r="P402">
        <f t="shared" si="126"/>
        <v>125</v>
      </c>
      <c r="Q402">
        <f t="shared" si="127"/>
        <v>1500</v>
      </c>
      <c r="R402">
        <f t="shared" si="128"/>
        <v>0</v>
      </c>
      <c r="S402">
        <f t="shared" si="129"/>
        <v>4500</v>
      </c>
      <c r="T402">
        <f t="shared" si="130"/>
        <v>4500</v>
      </c>
      <c r="U402">
        <f t="shared" si="131"/>
        <v>0</v>
      </c>
      <c r="W402" t="s">
        <v>372</v>
      </c>
    </row>
    <row r="403" spans="1:23">
      <c r="A403" t="s">
        <v>420</v>
      </c>
      <c r="B403" t="s">
        <v>592</v>
      </c>
      <c r="C403">
        <v>8499</v>
      </c>
      <c r="D403" t="s">
        <v>40</v>
      </c>
      <c r="G403">
        <v>2007</v>
      </c>
      <c r="H403">
        <v>12</v>
      </c>
      <c r="I403">
        <v>0.33</v>
      </c>
      <c r="J403" t="s">
        <v>30</v>
      </c>
      <c r="K403">
        <v>5</v>
      </c>
      <c r="L403">
        <f t="shared" si="123"/>
        <v>2012</v>
      </c>
      <c r="M403">
        <f t="shared" si="124"/>
        <v>2013</v>
      </c>
      <c r="N403">
        <v>43240</v>
      </c>
      <c r="O403">
        <f t="shared" si="125"/>
        <v>28970.799999999999</v>
      </c>
      <c r="P403">
        <f t="shared" si="126"/>
        <v>482.84666666666664</v>
      </c>
      <c r="Q403">
        <f t="shared" si="127"/>
        <v>5794.16</v>
      </c>
      <c r="R403">
        <f t="shared" si="128"/>
        <v>0</v>
      </c>
      <c r="S403">
        <f t="shared" si="129"/>
        <v>43240</v>
      </c>
      <c r="T403">
        <f t="shared" si="130"/>
        <v>28970.799999999999</v>
      </c>
      <c r="U403">
        <f t="shared" si="131"/>
        <v>0</v>
      </c>
      <c r="W403" t="s">
        <v>372</v>
      </c>
    </row>
    <row r="404" spans="1:23">
      <c r="A404" t="s">
        <v>420</v>
      </c>
      <c r="C404">
        <v>8499</v>
      </c>
      <c r="D404" t="s">
        <v>819</v>
      </c>
      <c r="E404">
        <v>132233</v>
      </c>
      <c r="F404">
        <v>90546</v>
      </c>
      <c r="G404">
        <v>2016</v>
      </c>
      <c r="H404">
        <v>2</v>
      </c>
      <c r="I404">
        <v>0</v>
      </c>
      <c r="J404" t="s">
        <v>30</v>
      </c>
      <c r="K404">
        <v>3</v>
      </c>
      <c r="L404">
        <f t="shared" si="123"/>
        <v>2019</v>
      </c>
      <c r="M404">
        <f t="shared" si="124"/>
        <v>2019.1666666666667</v>
      </c>
      <c r="N404">
        <v>27292.37</v>
      </c>
      <c r="O404">
        <f t="shared" si="125"/>
        <v>27292.37</v>
      </c>
      <c r="P404">
        <f t="shared" si="126"/>
        <v>758.12138888888887</v>
      </c>
      <c r="Q404">
        <f t="shared" si="127"/>
        <v>9097.4566666666669</v>
      </c>
      <c r="R404">
        <f t="shared" si="128"/>
        <v>9097.4566666666669</v>
      </c>
      <c r="S404">
        <f t="shared" si="129"/>
        <v>9097.4566666666669</v>
      </c>
      <c r="T404">
        <f t="shared" si="130"/>
        <v>18194.913333333334</v>
      </c>
      <c r="U404">
        <f t="shared" si="131"/>
        <v>13646.184999999998</v>
      </c>
    </row>
    <row r="405" spans="1:23">
      <c r="A405" t="s">
        <v>420</v>
      </c>
      <c r="B405" t="s">
        <v>592</v>
      </c>
      <c r="C405">
        <v>8497</v>
      </c>
      <c r="D405" t="s">
        <v>40</v>
      </c>
      <c r="G405">
        <v>2007</v>
      </c>
      <c r="H405">
        <v>12</v>
      </c>
      <c r="I405">
        <v>0.33</v>
      </c>
      <c r="J405" t="s">
        <v>30</v>
      </c>
      <c r="K405">
        <v>5</v>
      </c>
      <c r="L405">
        <f t="shared" si="123"/>
        <v>2012</v>
      </c>
      <c r="M405">
        <f t="shared" si="124"/>
        <v>2013</v>
      </c>
      <c r="N405">
        <v>43240</v>
      </c>
      <c r="O405">
        <f t="shared" si="125"/>
        <v>28970.799999999999</v>
      </c>
      <c r="P405">
        <f t="shared" si="126"/>
        <v>482.84666666666664</v>
      </c>
      <c r="Q405">
        <f t="shared" si="127"/>
        <v>5794.16</v>
      </c>
      <c r="R405">
        <f t="shared" si="128"/>
        <v>0</v>
      </c>
      <c r="S405">
        <f t="shared" si="129"/>
        <v>43240</v>
      </c>
      <c r="T405">
        <f t="shared" si="130"/>
        <v>28970.799999999999</v>
      </c>
      <c r="U405">
        <f t="shared" si="131"/>
        <v>0</v>
      </c>
      <c r="W405" t="s">
        <v>372</v>
      </c>
    </row>
    <row r="406" spans="1:23">
      <c r="A406" t="s">
        <v>420</v>
      </c>
      <c r="B406" t="s">
        <v>592</v>
      </c>
      <c r="C406">
        <v>8497</v>
      </c>
      <c r="D406" t="s">
        <v>797</v>
      </c>
      <c r="G406">
        <v>2015</v>
      </c>
      <c r="H406">
        <v>7</v>
      </c>
      <c r="I406">
        <v>0</v>
      </c>
      <c r="J406" t="s">
        <v>30</v>
      </c>
      <c r="K406">
        <v>3</v>
      </c>
      <c r="L406">
        <f t="shared" si="123"/>
        <v>2018</v>
      </c>
      <c r="M406">
        <f t="shared" si="124"/>
        <v>2018.5833333333333</v>
      </c>
      <c r="N406">
        <v>19633.62</v>
      </c>
      <c r="O406">
        <f t="shared" si="125"/>
        <v>19633.62</v>
      </c>
      <c r="P406">
        <f t="shared" si="126"/>
        <v>545.37833333333333</v>
      </c>
      <c r="Q406">
        <f t="shared" si="127"/>
        <v>6544.54</v>
      </c>
      <c r="R406">
        <f t="shared" si="128"/>
        <v>6544.54</v>
      </c>
      <c r="S406">
        <f t="shared" si="129"/>
        <v>13089.08</v>
      </c>
      <c r="T406">
        <f t="shared" si="130"/>
        <v>19633.62</v>
      </c>
      <c r="U406">
        <f t="shared" si="131"/>
        <v>3272.2699999999995</v>
      </c>
    </row>
    <row r="407" spans="1:23">
      <c r="A407" t="s">
        <v>420</v>
      </c>
      <c r="C407">
        <v>9184</v>
      </c>
      <c r="D407" t="s">
        <v>819</v>
      </c>
      <c r="E407">
        <v>128836</v>
      </c>
      <c r="F407">
        <v>90556</v>
      </c>
      <c r="G407">
        <v>2015</v>
      </c>
      <c r="H407">
        <v>11</v>
      </c>
      <c r="I407">
        <v>0</v>
      </c>
      <c r="J407" t="s">
        <v>30</v>
      </c>
      <c r="K407">
        <v>3</v>
      </c>
      <c r="L407">
        <f t="shared" si="123"/>
        <v>2018</v>
      </c>
      <c r="M407">
        <f t="shared" si="124"/>
        <v>2018.9166666666667</v>
      </c>
      <c r="N407">
        <v>18350.27</v>
      </c>
      <c r="O407">
        <f t="shared" si="125"/>
        <v>18350.27</v>
      </c>
      <c r="P407">
        <f t="shared" si="126"/>
        <v>509.72972222222228</v>
      </c>
      <c r="Q407">
        <f t="shared" si="127"/>
        <v>6116.7566666666671</v>
      </c>
      <c r="R407">
        <f t="shared" si="128"/>
        <v>6116.7566666666671</v>
      </c>
      <c r="S407">
        <f t="shared" si="129"/>
        <v>12233.513333333334</v>
      </c>
      <c r="T407">
        <f t="shared" si="130"/>
        <v>18350.27</v>
      </c>
      <c r="U407">
        <f t="shared" si="131"/>
        <v>3058.3783333333331</v>
      </c>
    </row>
    <row r="408" spans="1:23">
      <c r="A408" t="s">
        <v>420</v>
      </c>
      <c r="B408" t="s">
        <v>592</v>
      </c>
      <c r="C408">
        <v>9184</v>
      </c>
      <c r="D408" t="s">
        <v>38</v>
      </c>
      <c r="G408">
        <v>2008</v>
      </c>
      <c r="H408">
        <v>2</v>
      </c>
      <c r="I408">
        <v>0.33</v>
      </c>
      <c r="J408" t="s">
        <v>30</v>
      </c>
      <c r="K408">
        <v>5</v>
      </c>
      <c r="L408">
        <f t="shared" si="123"/>
        <v>2013</v>
      </c>
      <c r="M408">
        <f t="shared" si="124"/>
        <v>2013.1666666666667</v>
      </c>
      <c r="N408">
        <f>102695+21860.45</f>
        <v>124555.45</v>
      </c>
      <c r="O408">
        <f t="shared" si="125"/>
        <v>83452.151499999993</v>
      </c>
      <c r="P408">
        <f t="shared" si="126"/>
        <v>1390.8691916666667</v>
      </c>
      <c r="Q408">
        <f t="shared" si="127"/>
        <v>16690.4303</v>
      </c>
      <c r="R408">
        <f t="shared" si="128"/>
        <v>0</v>
      </c>
      <c r="S408">
        <f t="shared" si="129"/>
        <v>124555.45</v>
      </c>
      <c r="T408">
        <f t="shared" si="130"/>
        <v>83452.151499999993</v>
      </c>
      <c r="U408">
        <f t="shared" si="131"/>
        <v>0</v>
      </c>
      <c r="W408" t="s">
        <v>428</v>
      </c>
    </row>
    <row r="409" spans="1:23">
      <c r="A409" t="s">
        <v>420</v>
      </c>
      <c r="B409" t="s">
        <v>592</v>
      </c>
      <c r="C409">
        <v>9184</v>
      </c>
      <c r="D409" t="s">
        <v>752</v>
      </c>
      <c r="G409">
        <v>2015</v>
      </c>
      <c r="H409">
        <v>3</v>
      </c>
      <c r="I409">
        <v>0</v>
      </c>
      <c r="J409" t="s">
        <v>30</v>
      </c>
      <c r="K409">
        <v>3</v>
      </c>
      <c r="L409">
        <f t="shared" si="123"/>
        <v>2018</v>
      </c>
      <c r="M409">
        <f t="shared" si="124"/>
        <v>2018.25</v>
      </c>
      <c r="N409">
        <v>4896</v>
      </c>
      <c r="O409">
        <f t="shared" si="125"/>
        <v>4896</v>
      </c>
      <c r="P409">
        <f t="shared" si="126"/>
        <v>136</v>
      </c>
      <c r="Q409">
        <f t="shared" si="127"/>
        <v>1632</v>
      </c>
      <c r="R409">
        <f t="shared" si="128"/>
        <v>1632</v>
      </c>
      <c r="S409">
        <f t="shared" si="129"/>
        <v>3264</v>
      </c>
      <c r="T409">
        <f t="shared" si="130"/>
        <v>4896</v>
      </c>
      <c r="U409">
        <f t="shared" si="131"/>
        <v>816</v>
      </c>
    </row>
    <row r="410" spans="1:23">
      <c r="A410" t="s">
        <v>420</v>
      </c>
      <c r="B410" t="s">
        <v>592</v>
      </c>
      <c r="C410">
        <v>9185</v>
      </c>
      <c r="D410" t="s">
        <v>38</v>
      </c>
      <c r="G410">
        <v>2008</v>
      </c>
      <c r="H410">
        <v>2</v>
      </c>
      <c r="I410">
        <v>0.33</v>
      </c>
      <c r="J410" t="s">
        <v>30</v>
      </c>
      <c r="K410">
        <v>5</v>
      </c>
      <c r="L410">
        <f t="shared" si="123"/>
        <v>2013</v>
      </c>
      <c r="M410">
        <f t="shared" si="124"/>
        <v>2013.1666666666667</v>
      </c>
      <c r="N410">
        <f>102695+21589.37</f>
        <v>124284.37</v>
      </c>
      <c r="O410">
        <f t="shared" si="125"/>
        <v>83270.527899999986</v>
      </c>
      <c r="P410">
        <f t="shared" si="126"/>
        <v>1387.8421316666663</v>
      </c>
      <c r="Q410">
        <f t="shared" si="127"/>
        <v>16654.105579999996</v>
      </c>
      <c r="R410">
        <f t="shared" si="128"/>
        <v>0</v>
      </c>
      <c r="S410">
        <f t="shared" si="129"/>
        <v>124284.37</v>
      </c>
      <c r="T410">
        <f t="shared" si="130"/>
        <v>83270.527899999986</v>
      </c>
      <c r="U410">
        <f t="shared" si="131"/>
        <v>0</v>
      </c>
      <c r="W410" t="s">
        <v>428</v>
      </c>
    </row>
    <row r="411" spans="1:23">
      <c r="A411" t="s">
        <v>420</v>
      </c>
      <c r="C411">
        <v>9185</v>
      </c>
      <c r="D411" t="s">
        <v>819</v>
      </c>
      <c r="E411">
        <v>132232</v>
      </c>
      <c r="F411">
        <v>90557</v>
      </c>
      <c r="G411">
        <v>2016</v>
      </c>
      <c r="H411">
        <v>2</v>
      </c>
      <c r="I411">
        <v>0</v>
      </c>
      <c r="J411" t="s">
        <v>30</v>
      </c>
      <c r="K411">
        <v>3</v>
      </c>
      <c r="L411">
        <f t="shared" si="123"/>
        <v>2019</v>
      </c>
      <c r="M411">
        <f t="shared" si="124"/>
        <v>2019.1666666666667</v>
      </c>
      <c r="N411">
        <v>19952.88</v>
      </c>
      <c r="O411">
        <f t="shared" si="125"/>
        <v>19952.88</v>
      </c>
      <c r="P411">
        <f t="shared" si="126"/>
        <v>554.24666666666667</v>
      </c>
      <c r="Q411">
        <f t="shared" si="127"/>
        <v>6650.96</v>
      </c>
      <c r="R411">
        <f t="shared" si="128"/>
        <v>6650.96</v>
      </c>
      <c r="S411">
        <f t="shared" si="129"/>
        <v>6650.96</v>
      </c>
      <c r="T411">
        <f t="shared" si="130"/>
        <v>13301.92</v>
      </c>
      <c r="U411">
        <f t="shared" si="131"/>
        <v>9976.4400000000023</v>
      </c>
    </row>
    <row r="412" spans="1:23">
      <c r="A412" t="s">
        <v>420</v>
      </c>
      <c r="B412" t="s">
        <v>592</v>
      </c>
      <c r="C412">
        <v>8974</v>
      </c>
      <c r="D412" t="s">
        <v>173</v>
      </c>
      <c r="G412">
        <v>2007</v>
      </c>
      <c r="H412">
        <v>12</v>
      </c>
      <c r="I412">
        <v>0</v>
      </c>
      <c r="J412" t="s">
        <v>30</v>
      </c>
      <c r="K412">
        <v>3</v>
      </c>
      <c r="L412">
        <f t="shared" si="123"/>
        <v>2010</v>
      </c>
      <c r="M412">
        <f t="shared" si="124"/>
        <v>2011</v>
      </c>
      <c r="N412">
        <v>4500</v>
      </c>
      <c r="O412">
        <f t="shared" si="125"/>
        <v>4500</v>
      </c>
      <c r="P412">
        <f t="shared" si="126"/>
        <v>125</v>
      </c>
      <c r="Q412">
        <f t="shared" si="127"/>
        <v>1500</v>
      </c>
      <c r="R412">
        <f t="shared" si="128"/>
        <v>0</v>
      </c>
      <c r="S412">
        <f t="shared" si="129"/>
        <v>4500</v>
      </c>
      <c r="T412">
        <f t="shared" si="130"/>
        <v>4500</v>
      </c>
      <c r="U412">
        <f t="shared" si="131"/>
        <v>0</v>
      </c>
      <c r="W412" t="s">
        <v>372</v>
      </c>
    </row>
    <row r="413" spans="1:23">
      <c r="A413" t="s">
        <v>420</v>
      </c>
      <c r="B413" t="s">
        <v>592</v>
      </c>
      <c r="C413">
        <v>9186</v>
      </c>
      <c r="D413" t="s">
        <v>38</v>
      </c>
      <c r="G413">
        <v>2008</v>
      </c>
      <c r="H413">
        <v>2</v>
      </c>
      <c r="I413">
        <v>0.33</v>
      </c>
      <c r="J413" t="s">
        <v>30</v>
      </c>
      <c r="K413">
        <v>5</v>
      </c>
      <c r="L413">
        <f t="shared" si="123"/>
        <v>2013</v>
      </c>
      <c r="M413">
        <f t="shared" si="124"/>
        <v>2013.1666666666667</v>
      </c>
      <c r="N413">
        <f>102695+19750.49</f>
        <v>122445.49</v>
      </c>
      <c r="O413">
        <f t="shared" si="125"/>
        <v>82038.478300000002</v>
      </c>
      <c r="P413">
        <f t="shared" si="126"/>
        <v>1367.3079716666668</v>
      </c>
      <c r="Q413">
        <f t="shared" si="127"/>
        <v>16407.695660000001</v>
      </c>
      <c r="R413">
        <f t="shared" si="128"/>
        <v>0</v>
      </c>
      <c r="S413">
        <f t="shared" si="129"/>
        <v>122445.49</v>
      </c>
      <c r="T413">
        <f t="shared" si="130"/>
        <v>82038.478300000002</v>
      </c>
      <c r="U413">
        <f t="shared" si="131"/>
        <v>0</v>
      </c>
      <c r="W413" t="s">
        <v>428</v>
      </c>
    </row>
    <row r="414" spans="1:23">
      <c r="A414" t="s">
        <v>420</v>
      </c>
      <c r="B414" t="s">
        <v>592</v>
      </c>
      <c r="C414">
        <v>9182</v>
      </c>
      <c r="D414" t="s">
        <v>38</v>
      </c>
      <c r="G414">
        <v>2008</v>
      </c>
      <c r="H414">
        <v>2</v>
      </c>
      <c r="I414">
        <v>0.33</v>
      </c>
      <c r="J414" t="s">
        <v>30</v>
      </c>
      <c r="K414">
        <v>5</v>
      </c>
      <c r="L414">
        <f t="shared" si="123"/>
        <v>2013</v>
      </c>
      <c r="M414">
        <f t="shared" si="124"/>
        <v>2013.1666666666667</v>
      </c>
      <c r="N414">
        <f>102695+18521.9</f>
        <v>121216.9</v>
      </c>
      <c r="O414">
        <f t="shared" si="125"/>
        <v>81215.323000000004</v>
      </c>
      <c r="P414">
        <f t="shared" si="126"/>
        <v>1353.5887166666669</v>
      </c>
      <c r="Q414">
        <f t="shared" si="127"/>
        <v>16243.064600000002</v>
      </c>
      <c r="R414">
        <f t="shared" si="128"/>
        <v>0</v>
      </c>
      <c r="S414">
        <f t="shared" si="129"/>
        <v>121216.9</v>
      </c>
      <c r="T414">
        <f t="shared" si="130"/>
        <v>81215.323000000004</v>
      </c>
      <c r="U414">
        <f t="shared" si="131"/>
        <v>0</v>
      </c>
      <c r="W414" t="s">
        <v>428</v>
      </c>
    </row>
    <row r="415" spans="1:23">
      <c r="A415" t="s">
        <v>420</v>
      </c>
      <c r="B415" t="s">
        <v>592</v>
      </c>
      <c r="C415">
        <v>9182</v>
      </c>
      <c r="D415" t="s">
        <v>798</v>
      </c>
      <c r="G415">
        <v>2015</v>
      </c>
      <c r="H415">
        <v>7</v>
      </c>
      <c r="I415">
        <v>0</v>
      </c>
      <c r="J415" t="s">
        <v>30</v>
      </c>
      <c r="K415">
        <v>3</v>
      </c>
      <c r="L415">
        <f t="shared" si="123"/>
        <v>2018</v>
      </c>
      <c r="M415">
        <f t="shared" si="124"/>
        <v>2018.5833333333333</v>
      </c>
      <c r="N415">
        <v>14954.14</v>
      </c>
      <c r="O415">
        <f t="shared" si="125"/>
        <v>14954.14</v>
      </c>
      <c r="P415">
        <f t="shared" si="126"/>
        <v>415.39277777777778</v>
      </c>
      <c r="Q415">
        <f t="shared" si="127"/>
        <v>4984.7133333333331</v>
      </c>
      <c r="R415">
        <f t="shared" si="128"/>
        <v>4984.7133333333331</v>
      </c>
      <c r="S415">
        <f t="shared" si="129"/>
        <v>9969.4266666666663</v>
      </c>
      <c r="T415">
        <f t="shared" si="130"/>
        <v>14954.14</v>
      </c>
      <c r="U415">
        <f t="shared" si="131"/>
        <v>2492.3566666666666</v>
      </c>
    </row>
    <row r="416" spans="1:23">
      <c r="A416" t="s">
        <v>420</v>
      </c>
      <c r="C416">
        <v>9183</v>
      </c>
      <c r="D416" t="s">
        <v>819</v>
      </c>
      <c r="E416">
        <v>128835</v>
      </c>
      <c r="F416">
        <v>90573</v>
      </c>
      <c r="G416">
        <v>2015</v>
      </c>
      <c r="H416">
        <v>9</v>
      </c>
      <c r="I416">
        <v>0</v>
      </c>
      <c r="J416" t="s">
        <v>30</v>
      </c>
      <c r="K416">
        <v>3</v>
      </c>
      <c r="L416">
        <f t="shared" si="123"/>
        <v>2018</v>
      </c>
      <c r="M416">
        <f t="shared" si="124"/>
        <v>2018.75</v>
      </c>
      <c r="N416">
        <v>18252.93</v>
      </c>
      <c r="O416">
        <f t="shared" si="125"/>
        <v>18252.93</v>
      </c>
      <c r="P416">
        <f t="shared" si="126"/>
        <v>507.02583333333337</v>
      </c>
      <c r="Q416">
        <f t="shared" si="127"/>
        <v>6084.31</v>
      </c>
      <c r="R416">
        <f t="shared" si="128"/>
        <v>6084.31</v>
      </c>
      <c r="S416">
        <f t="shared" si="129"/>
        <v>12168.62</v>
      </c>
      <c r="T416">
        <f t="shared" si="130"/>
        <v>18252.93</v>
      </c>
      <c r="U416">
        <f t="shared" si="131"/>
        <v>3042.1549999999997</v>
      </c>
    </row>
    <row r="417" spans="1:24">
      <c r="A417" t="s">
        <v>420</v>
      </c>
      <c r="B417" t="s">
        <v>592</v>
      </c>
      <c r="C417">
        <v>9183</v>
      </c>
      <c r="D417" t="s">
        <v>38</v>
      </c>
      <c r="G417">
        <v>2008</v>
      </c>
      <c r="H417">
        <v>2</v>
      </c>
      <c r="I417">
        <v>0.33</v>
      </c>
      <c r="J417" t="s">
        <v>30</v>
      </c>
      <c r="K417">
        <v>5</v>
      </c>
      <c r="L417">
        <f t="shared" si="123"/>
        <v>2013</v>
      </c>
      <c r="M417">
        <f t="shared" si="124"/>
        <v>2013.1666666666667</v>
      </c>
      <c r="N417">
        <f>102695+26015.41</f>
        <v>128710.41</v>
      </c>
      <c r="O417">
        <f t="shared" si="125"/>
        <v>86235.974699999992</v>
      </c>
      <c r="P417">
        <f t="shared" si="126"/>
        <v>1437.2662449999998</v>
      </c>
      <c r="Q417">
        <f t="shared" si="127"/>
        <v>17247.194939999998</v>
      </c>
      <c r="R417">
        <f t="shared" si="128"/>
        <v>0</v>
      </c>
      <c r="S417">
        <f t="shared" si="129"/>
        <v>128710.41</v>
      </c>
      <c r="T417">
        <f t="shared" si="130"/>
        <v>86235.974699999992</v>
      </c>
      <c r="U417">
        <f t="shared" si="131"/>
        <v>0</v>
      </c>
      <c r="W417" t="s">
        <v>428</v>
      </c>
    </row>
    <row r="418" spans="1:24">
      <c r="A418" t="s">
        <v>420</v>
      </c>
      <c r="B418" t="s">
        <v>592</v>
      </c>
      <c r="C418">
        <v>8495</v>
      </c>
      <c r="D418" t="s">
        <v>40</v>
      </c>
      <c r="G418">
        <v>2007</v>
      </c>
      <c r="H418">
        <v>12</v>
      </c>
      <c r="I418">
        <v>0.33</v>
      </c>
      <c r="J418" t="s">
        <v>30</v>
      </c>
      <c r="K418">
        <v>5</v>
      </c>
      <c r="L418">
        <f t="shared" si="123"/>
        <v>2012</v>
      </c>
      <c r="M418">
        <f t="shared" si="124"/>
        <v>2013</v>
      </c>
      <c r="N418">
        <v>43240</v>
      </c>
      <c r="O418">
        <f t="shared" si="125"/>
        <v>28970.799999999999</v>
      </c>
      <c r="P418">
        <f t="shared" si="126"/>
        <v>482.84666666666664</v>
      </c>
      <c r="Q418">
        <f t="shared" si="127"/>
        <v>5794.16</v>
      </c>
      <c r="R418">
        <f t="shared" si="128"/>
        <v>0</v>
      </c>
      <c r="S418">
        <f t="shared" si="129"/>
        <v>43240</v>
      </c>
      <c r="T418">
        <f t="shared" si="130"/>
        <v>28970.799999999999</v>
      </c>
      <c r="U418">
        <f t="shared" si="131"/>
        <v>0</v>
      </c>
      <c r="W418" t="s">
        <v>372</v>
      </c>
    </row>
    <row r="419" spans="1:24">
      <c r="A419" t="s">
        <v>420</v>
      </c>
      <c r="B419" t="s">
        <v>592</v>
      </c>
      <c r="C419">
        <v>9188</v>
      </c>
      <c r="D419" t="s">
        <v>45</v>
      </c>
      <c r="G419">
        <v>2004</v>
      </c>
      <c r="H419">
        <v>12</v>
      </c>
      <c r="I419">
        <v>0.2</v>
      </c>
      <c r="J419" t="s">
        <v>30</v>
      </c>
      <c r="K419">
        <v>7</v>
      </c>
      <c r="L419">
        <f t="shared" si="123"/>
        <v>2011</v>
      </c>
      <c r="M419">
        <f t="shared" si="124"/>
        <v>2012</v>
      </c>
      <c r="N419">
        <v>180204.92</v>
      </c>
      <c r="O419">
        <f t="shared" si="125"/>
        <v>144163.93600000002</v>
      </c>
      <c r="P419">
        <f t="shared" si="126"/>
        <v>1716.2373333333335</v>
      </c>
      <c r="Q419">
        <f t="shared" si="127"/>
        <v>20594.848000000002</v>
      </c>
      <c r="R419">
        <f t="shared" si="128"/>
        <v>0</v>
      </c>
      <c r="S419">
        <f t="shared" si="129"/>
        <v>180204.92</v>
      </c>
      <c r="T419">
        <f t="shared" si="130"/>
        <v>144163.93600000002</v>
      </c>
      <c r="U419">
        <f t="shared" si="131"/>
        <v>0</v>
      </c>
      <c r="W419" t="s">
        <v>428</v>
      </c>
    </row>
    <row r="420" spans="1:24">
      <c r="A420" t="s">
        <v>420</v>
      </c>
      <c r="B420" t="s">
        <v>592</v>
      </c>
      <c r="C420">
        <v>9188</v>
      </c>
      <c r="D420" t="s">
        <v>172</v>
      </c>
      <c r="G420">
        <v>2007</v>
      </c>
      <c r="H420">
        <v>12</v>
      </c>
      <c r="I420">
        <v>0.2</v>
      </c>
      <c r="J420" t="s">
        <v>30</v>
      </c>
      <c r="K420">
        <v>7</v>
      </c>
      <c r="L420">
        <f t="shared" si="123"/>
        <v>2014</v>
      </c>
      <c r="M420">
        <f t="shared" si="124"/>
        <v>2015</v>
      </c>
      <c r="N420">
        <v>7985</v>
      </c>
      <c r="O420">
        <f t="shared" si="125"/>
        <v>6388</v>
      </c>
      <c r="P420">
        <f t="shared" si="126"/>
        <v>76.047619047619051</v>
      </c>
      <c r="Q420">
        <f t="shared" si="127"/>
        <v>912.57142857142867</v>
      </c>
      <c r="R420">
        <f t="shared" si="128"/>
        <v>0</v>
      </c>
      <c r="S420">
        <f t="shared" si="129"/>
        <v>7985</v>
      </c>
      <c r="T420">
        <f t="shared" si="130"/>
        <v>6388</v>
      </c>
      <c r="U420">
        <f t="shared" si="131"/>
        <v>0</v>
      </c>
      <c r="W420" t="s">
        <v>428</v>
      </c>
    </row>
    <row r="421" spans="1:24">
      <c r="A421" t="s">
        <v>420</v>
      </c>
      <c r="B421" t="s">
        <v>592</v>
      </c>
      <c r="C421">
        <v>9187</v>
      </c>
      <c r="D421" t="s">
        <v>46</v>
      </c>
      <c r="G421">
        <v>2004</v>
      </c>
      <c r="H421">
        <v>12</v>
      </c>
      <c r="I421">
        <v>0.2</v>
      </c>
      <c r="J421" t="s">
        <v>30</v>
      </c>
      <c r="K421">
        <v>7</v>
      </c>
      <c r="L421">
        <f t="shared" si="123"/>
        <v>2011</v>
      </c>
      <c r="M421">
        <f t="shared" si="124"/>
        <v>2012</v>
      </c>
      <c r="N421">
        <v>180204.92</v>
      </c>
      <c r="O421">
        <f t="shared" si="125"/>
        <v>144163.93600000002</v>
      </c>
      <c r="P421">
        <f t="shared" si="126"/>
        <v>1716.2373333333335</v>
      </c>
      <c r="Q421">
        <f t="shared" si="127"/>
        <v>20594.848000000002</v>
      </c>
      <c r="R421">
        <f t="shared" si="128"/>
        <v>0</v>
      </c>
      <c r="S421">
        <f t="shared" si="129"/>
        <v>180204.92</v>
      </c>
      <c r="T421">
        <f t="shared" si="130"/>
        <v>144163.93600000002</v>
      </c>
      <c r="U421">
        <f t="shared" si="131"/>
        <v>0</v>
      </c>
      <c r="W421" t="s">
        <v>428</v>
      </c>
    </row>
    <row r="422" spans="1:24">
      <c r="A422" t="s">
        <v>420</v>
      </c>
      <c r="B422" t="s">
        <v>592</v>
      </c>
      <c r="C422">
        <v>9187</v>
      </c>
      <c r="D422" t="s">
        <v>172</v>
      </c>
      <c r="G422">
        <v>2007</v>
      </c>
      <c r="H422">
        <v>12</v>
      </c>
      <c r="I422">
        <v>0.2</v>
      </c>
      <c r="J422" t="s">
        <v>30</v>
      </c>
      <c r="K422">
        <v>7</v>
      </c>
      <c r="L422">
        <f t="shared" si="123"/>
        <v>2014</v>
      </c>
      <c r="M422">
        <f t="shared" si="124"/>
        <v>2015</v>
      </c>
      <c r="N422">
        <v>7660</v>
      </c>
      <c r="O422">
        <f t="shared" si="125"/>
        <v>6128</v>
      </c>
      <c r="P422">
        <f t="shared" si="126"/>
        <v>72.952380952380949</v>
      </c>
      <c r="Q422">
        <f t="shared" si="127"/>
        <v>875.42857142857133</v>
      </c>
      <c r="R422">
        <f t="shared" si="128"/>
        <v>0</v>
      </c>
      <c r="S422">
        <f t="shared" si="129"/>
        <v>7660</v>
      </c>
      <c r="T422">
        <f t="shared" si="130"/>
        <v>6128</v>
      </c>
      <c r="U422">
        <f t="shared" si="131"/>
        <v>0</v>
      </c>
      <c r="W422" t="s">
        <v>428</v>
      </c>
    </row>
    <row r="423" spans="1:24">
      <c r="A423" t="s">
        <v>420</v>
      </c>
      <c r="B423" t="s">
        <v>592</v>
      </c>
      <c r="C423">
        <v>8498</v>
      </c>
      <c r="D423" t="s">
        <v>40</v>
      </c>
      <c r="G423">
        <v>2007</v>
      </c>
      <c r="H423">
        <v>12</v>
      </c>
      <c r="I423">
        <v>0.33</v>
      </c>
      <c r="J423" t="s">
        <v>30</v>
      </c>
      <c r="K423">
        <v>5</v>
      </c>
      <c r="L423">
        <f t="shared" si="123"/>
        <v>2012</v>
      </c>
      <c r="M423">
        <f t="shared" si="124"/>
        <v>2013</v>
      </c>
      <c r="N423">
        <v>43240</v>
      </c>
      <c r="O423">
        <f t="shared" si="125"/>
        <v>28970.799999999999</v>
      </c>
      <c r="P423">
        <f t="shared" si="126"/>
        <v>482.84666666666664</v>
      </c>
      <c r="Q423">
        <f t="shared" si="127"/>
        <v>5794.16</v>
      </c>
      <c r="R423">
        <f t="shared" si="128"/>
        <v>0</v>
      </c>
      <c r="S423">
        <f t="shared" si="129"/>
        <v>43240</v>
      </c>
      <c r="T423">
        <f t="shared" si="130"/>
        <v>28970.799999999999</v>
      </c>
      <c r="U423">
        <f t="shared" si="131"/>
        <v>0</v>
      </c>
      <c r="W423" t="s">
        <v>372</v>
      </c>
    </row>
    <row r="424" spans="1:24">
      <c r="A424" t="s">
        <v>420</v>
      </c>
      <c r="C424">
        <v>8498</v>
      </c>
      <c r="D424" t="s">
        <v>819</v>
      </c>
      <c r="E424">
        <v>131235</v>
      </c>
      <c r="F424">
        <v>90583</v>
      </c>
      <c r="G424">
        <v>2016</v>
      </c>
      <c r="H424">
        <v>1</v>
      </c>
      <c r="I424">
        <v>0</v>
      </c>
      <c r="J424" t="s">
        <v>30</v>
      </c>
      <c r="K424">
        <v>3</v>
      </c>
      <c r="L424">
        <f t="shared" si="123"/>
        <v>2019</v>
      </c>
      <c r="M424">
        <f t="shared" si="124"/>
        <v>2019.0833333333333</v>
      </c>
      <c r="N424">
        <v>24548.74</v>
      </c>
      <c r="O424">
        <f t="shared" si="125"/>
        <v>24548.74</v>
      </c>
      <c r="P424">
        <f t="shared" si="126"/>
        <v>681.90944444444449</v>
      </c>
      <c r="Q424">
        <f t="shared" si="127"/>
        <v>8182.9133333333339</v>
      </c>
      <c r="R424">
        <f t="shared" si="128"/>
        <v>8182.9133333333339</v>
      </c>
      <c r="S424">
        <f t="shared" si="129"/>
        <v>8182.9133333333339</v>
      </c>
      <c r="T424">
        <f t="shared" si="130"/>
        <v>16365.826666666668</v>
      </c>
      <c r="U424">
        <f>+IF(R424=0,0,((N424-S424)+(N424-T424))/2)</f>
        <v>12274.37</v>
      </c>
    </row>
    <row r="425" spans="1:24">
      <c r="A425" t="s">
        <v>420</v>
      </c>
      <c r="C425">
        <v>8496</v>
      </c>
      <c r="D425" t="s">
        <v>819</v>
      </c>
      <c r="E425">
        <v>128834</v>
      </c>
      <c r="F425">
        <v>90585</v>
      </c>
      <c r="G425">
        <v>2015</v>
      </c>
      <c r="H425">
        <v>9</v>
      </c>
      <c r="I425">
        <v>0</v>
      </c>
      <c r="J425" t="s">
        <v>30</v>
      </c>
      <c r="K425">
        <v>3</v>
      </c>
      <c r="L425">
        <f t="shared" si="123"/>
        <v>2018</v>
      </c>
      <c r="M425">
        <f t="shared" si="124"/>
        <v>2018.75</v>
      </c>
      <c r="N425">
        <v>19982.97</v>
      </c>
      <c r="O425">
        <f t="shared" si="125"/>
        <v>19982.97</v>
      </c>
      <c r="P425">
        <f t="shared" si="126"/>
        <v>555.0825000000001</v>
      </c>
      <c r="Q425">
        <f t="shared" si="127"/>
        <v>6660.9900000000016</v>
      </c>
      <c r="R425">
        <f t="shared" si="128"/>
        <v>6660.9900000000016</v>
      </c>
      <c r="S425">
        <f t="shared" si="129"/>
        <v>13321.980000000003</v>
      </c>
      <c r="T425">
        <f t="shared" si="130"/>
        <v>19982.970000000005</v>
      </c>
      <c r="U425">
        <f t="shared" si="131"/>
        <v>3330.4949999999972</v>
      </c>
    </row>
    <row r="426" spans="1:24">
      <c r="A426" t="s">
        <v>420</v>
      </c>
      <c r="B426" t="s">
        <v>592</v>
      </c>
      <c r="C426">
        <v>8496</v>
      </c>
      <c r="D426" t="s">
        <v>40</v>
      </c>
      <c r="G426">
        <v>2007</v>
      </c>
      <c r="H426">
        <v>12</v>
      </c>
      <c r="I426">
        <v>0.33</v>
      </c>
      <c r="J426" t="s">
        <v>30</v>
      </c>
      <c r="K426">
        <v>5</v>
      </c>
      <c r="L426">
        <f t="shared" si="123"/>
        <v>2012</v>
      </c>
      <c r="M426">
        <f t="shared" si="124"/>
        <v>2013</v>
      </c>
      <c r="N426">
        <v>43240</v>
      </c>
      <c r="O426">
        <f t="shared" si="125"/>
        <v>28970.799999999999</v>
      </c>
      <c r="P426">
        <f t="shared" si="126"/>
        <v>482.84666666666664</v>
      </c>
      <c r="Q426">
        <f t="shared" si="127"/>
        <v>5794.16</v>
      </c>
      <c r="R426">
        <f t="shared" si="128"/>
        <v>0</v>
      </c>
      <c r="S426">
        <f t="shared" si="129"/>
        <v>43240</v>
      </c>
      <c r="T426">
        <f t="shared" si="130"/>
        <v>28970.799999999999</v>
      </c>
      <c r="U426">
        <f t="shared" si="131"/>
        <v>0</v>
      </c>
      <c r="W426" t="s">
        <v>372</v>
      </c>
    </row>
    <row r="427" spans="1:24">
      <c r="A427" t="s">
        <v>39</v>
      </c>
      <c r="B427" t="s">
        <v>421</v>
      </c>
      <c r="C427">
        <v>8881</v>
      </c>
      <c r="D427" t="s">
        <v>192</v>
      </c>
      <c r="G427">
        <v>2004</v>
      </c>
      <c r="H427">
        <v>4</v>
      </c>
      <c r="I427">
        <v>0.2</v>
      </c>
      <c r="J427" t="s">
        <v>30</v>
      </c>
      <c r="K427">
        <v>7</v>
      </c>
      <c r="L427">
        <f t="shared" si="123"/>
        <v>2011</v>
      </c>
      <c r="M427">
        <f t="shared" si="124"/>
        <v>2011.3333333333333</v>
      </c>
      <c r="N427">
        <v>39286.080000000002</v>
      </c>
      <c r="O427">
        <f t="shared" si="125"/>
        <v>31428.864000000001</v>
      </c>
      <c r="P427">
        <f t="shared" si="126"/>
        <v>374.15314285714288</v>
      </c>
      <c r="Q427">
        <f t="shared" si="127"/>
        <v>4489.8377142857144</v>
      </c>
      <c r="R427">
        <f t="shared" si="128"/>
        <v>0</v>
      </c>
      <c r="S427">
        <f t="shared" si="129"/>
        <v>39286.080000000002</v>
      </c>
      <c r="T427">
        <f t="shared" si="130"/>
        <v>31428.864000000001</v>
      </c>
      <c r="U427">
        <f t="shared" si="131"/>
        <v>0</v>
      </c>
      <c r="W427" t="s">
        <v>372</v>
      </c>
    </row>
    <row r="430" spans="1:24">
      <c r="B430" t="s">
        <v>946</v>
      </c>
    </row>
    <row r="431" spans="1:24">
      <c r="A431" t="s">
        <v>43</v>
      </c>
      <c r="B431" t="s">
        <v>342</v>
      </c>
      <c r="C431">
        <v>3577</v>
      </c>
      <c r="D431" t="s">
        <v>195</v>
      </c>
      <c r="E431">
        <v>66892</v>
      </c>
      <c r="G431">
        <v>2005</v>
      </c>
      <c r="H431">
        <v>3</v>
      </c>
      <c r="I431">
        <v>0.2</v>
      </c>
      <c r="J431" t="s">
        <v>30</v>
      </c>
      <c r="K431">
        <v>7</v>
      </c>
      <c r="L431">
        <f>G431+K431</f>
        <v>2012</v>
      </c>
      <c r="M431">
        <f>+L431+(H431/12)</f>
        <v>2012.25</v>
      </c>
      <c r="N431">
        <v>172559.21</v>
      </c>
      <c r="O431">
        <f>N431-N431*I431</f>
        <v>138047.36799999999</v>
      </c>
      <c r="P431">
        <f>O431/K431/12</f>
        <v>1643.4210476190474</v>
      </c>
      <c r="Q431">
        <f>P431*12</f>
        <v>19721.052571428569</v>
      </c>
      <c r="R431">
        <f>+IF(M431&lt;=$O$6,0,IF(L431&gt;$O$5,Q431,(P431*G431)))</f>
        <v>0</v>
      </c>
      <c r="S431">
        <f>+IF(R431=0,N431,IF($O$5-G431&lt;1,0,(($O$5-G431)*Q431)))</f>
        <v>172559.21</v>
      </c>
      <c r="T431">
        <f>+IF(R431=0,S431,S431+R431)-(N431-O431)</f>
        <v>138047.36799999999</v>
      </c>
      <c r="U431">
        <f>+IF(R431=0,0,((N431-S431)+(N431-T431))/2)</f>
        <v>0</v>
      </c>
      <c r="X431" t="s">
        <v>428</v>
      </c>
    </row>
    <row r="432" spans="1:24">
      <c r="A432" t="s">
        <v>770</v>
      </c>
      <c r="B432" t="s">
        <v>345</v>
      </c>
      <c r="C432">
        <v>2021</v>
      </c>
      <c r="D432" t="s">
        <v>556</v>
      </c>
      <c r="E432">
        <v>60746</v>
      </c>
      <c r="G432">
        <v>2003</v>
      </c>
      <c r="H432">
        <v>7</v>
      </c>
      <c r="I432">
        <v>0.2</v>
      </c>
      <c r="J432" t="s">
        <v>30</v>
      </c>
      <c r="K432">
        <v>7</v>
      </c>
      <c r="L432">
        <f>G432+K432</f>
        <v>2010</v>
      </c>
      <c r="M432">
        <f>+L432+(H432/12)</f>
        <v>2010.5833333333333</v>
      </c>
      <c r="N432">
        <f>164889.08+6244.2</f>
        <v>171133.28</v>
      </c>
      <c r="O432">
        <f>N432-N432*I432</f>
        <v>136906.62400000001</v>
      </c>
      <c r="P432">
        <f>O432/K432/12</f>
        <v>1629.8407619047621</v>
      </c>
      <c r="Q432">
        <f>P432*12</f>
        <v>19558.089142857145</v>
      </c>
      <c r="R432">
        <f>+IF(M432&lt;=$O$6,0,IF(L432&gt;$O$5,Q432,(P432*G432)))</f>
        <v>0</v>
      </c>
      <c r="S432">
        <f>+IF(R432=0,N432,IF($O$5-G432&lt;1,0,(($O$5-G432)*Q432)))</f>
        <v>171133.28</v>
      </c>
      <c r="T432">
        <f>+IF(R432=0,S432,S432+R432)-(N432-O432)</f>
        <v>136906.62400000001</v>
      </c>
      <c r="U432">
        <f>+IF(R432=0,0,((N432-S432)+(N432-T432))/2)</f>
        <v>0</v>
      </c>
    </row>
    <row r="443" spans="2:38">
      <c r="B443">
        <v>2182</v>
      </c>
      <c r="C443">
        <v>195818</v>
      </c>
      <c r="D443" t="s">
        <v>372</v>
      </c>
      <c r="E443" t="s">
        <v>937</v>
      </c>
      <c r="I443" t="s">
        <v>918</v>
      </c>
      <c r="J443">
        <v>2016</v>
      </c>
      <c r="K443" t="s">
        <v>938</v>
      </c>
      <c r="M443" t="s">
        <v>916</v>
      </c>
      <c r="N443">
        <v>43206</v>
      </c>
      <c r="O443">
        <v>43206</v>
      </c>
      <c r="P443" t="s">
        <v>939</v>
      </c>
      <c r="Q443">
        <v>800</v>
      </c>
      <c r="R443">
        <v>14040</v>
      </c>
      <c r="S443">
        <v>116812</v>
      </c>
      <c r="T443">
        <v>14046</v>
      </c>
      <c r="U443">
        <v>3650.37</v>
      </c>
      <c r="V443">
        <v>113161.63</v>
      </c>
      <c r="W443">
        <v>3650.37</v>
      </c>
      <c r="X443">
        <v>51260</v>
      </c>
      <c r="Y443">
        <v>1216.79</v>
      </c>
      <c r="Z443" t="s">
        <v>372</v>
      </c>
      <c r="AB443" t="s">
        <v>940</v>
      </c>
      <c r="AD443" t="s">
        <v>912</v>
      </c>
      <c r="AE443" t="s">
        <v>911</v>
      </c>
      <c r="AF443" t="s">
        <v>914</v>
      </c>
      <c r="AH443" t="s">
        <v>913</v>
      </c>
      <c r="AI443">
        <v>0</v>
      </c>
      <c r="AJ443">
        <v>0</v>
      </c>
      <c r="AK443">
        <v>0</v>
      </c>
      <c r="AL443" t="s">
        <v>945</v>
      </c>
    </row>
    <row r="444" spans="2:38">
      <c r="B444">
        <v>2182</v>
      </c>
      <c r="C444">
        <v>199419</v>
      </c>
      <c r="D444">
        <v>195818</v>
      </c>
      <c r="E444" t="s">
        <v>941</v>
      </c>
      <c r="J444">
        <v>0</v>
      </c>
      <c r="K444" t="s">
        <v>942</v>
      </c>
      <c r="M444" t="s">
        <v>915</v>
      </c>
      <c r="N444">
        <v>43206</v>
      </c>
      <c r="O444">
        <v>43206</v>
      </c>
      <c r="P444" t="s">
        <v>939</v>
      </c>
      <c r="Q444">
        <v>800</v>
      </c>
      <c r="R444">
        <v>14040</v>
      </c>
      <c r="S444">
        <v>6467.4</v>
      </c>
      <c r="T444">
        <v>14046</v>
      </c>
      <c r="U444">
        <v>202.11</v>
      </c>
      <c r="V444">
        <v>6265.29</v>
      </c>
      <c r="W444">
        <v>202.11</v>
      </c>
      <c r="X444">
        <v>51260</v>
      </c>
      <c r="Y444">
        <v>67.37</v>
      </c>
      <c r="Z444" t="s">
        <v>372</v>
      </c>
      <c r="AB444">
        <v>36887</v>
      </c>
      <c r="AD444" t="s">
        <v>912</v>
      </c>
      <c r="AE444" t="s">
        <v>911</v>
      </c>
      <c r="AF444" t="s">
        <v>914</v>
      </c>
      <c r="AH444" t="s">
        <v>913</v>
      </c>
      <c r="AI444">
        <v>0</v>
      </c>
      <c r="AJ444">
        <v>0</v>
      </c>
      <c r="AK444">
        <v>0</v>
      </c>
      <c r="AL444" t="s">
        <v>945</v>
      </c>
    </row>
    <row r="445" spans="2:38">
      <c r="B445">
        <v>2182</v>
      </c>
      <c r="C445">
        <v>195819</v>
      </c>
      <c r="D445" t="s">
        <v>372</v>
      </c>
      <c r="E445" t="s">
        <v>937</v>
      </c>
      <c r="I445" t="s">
        <v>918</v>
      </c>
      <c r="J445">
        <v>2016</v>
      </c>
      <c r="K445" t="s">
        <v>938</v>
      </c>
      <c r="M445" t="s">
        <v>916</v>
      </c>
      <c r="N445">
        <v>43206</v>
      </c>
      <c r="O445">
        <v>43206</v>
      </c>
      <c r="P445" t="s">
        <v>943</v>
      </c>
      <c r="Q445">
        <v>800</v>
      </c>
      <c r="R445">
        <v>14040</v>
      </c>
      <c r="S445">
        <v>116812</v>
      </c>
      <c r="T445">
        <v>14046</v>
      </c>
      <c r="U445">
        <v>3650.37</v>
      </c>
      <c r="V445">
        <v>113161.63</v>
      </c>
      <c r="W445">
        <v>3650.37</v>
      </c>
      <c r="X445">
        <v>51260</v>
      </c>
      <c r="Y445">
        <v>1216.79</v>
      </c>
      <c r="Z445" t="s">
        <v>372</v>
      </c>
      <c r="AB445" t="s">
        <v>944</v>
      </c>
      <c r="AD445" t="s">
        <v>912</v>
      </c>
      <c r="AE445" t="s">
        <v>911</v>
      </c>
      <c r="AF445" t="s">
        <v>914</v>
      </c>
      <c r="AH445" t="s">
        <v>913</v>
      </c>
      <c r="AI445">
        <v>0</v>
      </c>
      <c r="AJ445">
        <v>0</v>
      </c>
      <c r="AK445">
        <v>0</v>
      </c>
      <c r="AL445" t="s">
        <v>945</v>
      </c>
    </row>
    <row r="446" spans="2:38">
      <c r="B446">
        <v>2182</v>
      </c>
      <c r="C446">
        <v>199420</v>
      </c>
      <c r="D446">
        <v>195819</v>
      </c>
      <c r="E446" t="s">
        <v>941</v>
      </c>
      <c r="J446">
        <v>0</v>
      </c>
      <c r="K446" t="s">
        <v>942</v>
      </c>
      <c r="M446" t="s">
        <v>915</v>
      </c>
      <c r="N446">
        <v>43206</v>
      </c>
      <c r="O446">
        <v>43206</v>
      </c>
      <c r="P446" t="s">
        <v>943</v>
      </c>
      <c r="Q446">
        <v>800</v>
      </c>
      <c r="R446">
        <v>14040</v>
      </c>
      <c r="S446">
        <v>6467.4</v>
      </c>
      <c r="T446">
        <v>14046</v>
      </c>
      <c r="U446">
        <v>202.11</v>
      </c>
      <c r="V446">
        <v>6265.29</v>
      </c>
      <c r="W446">
        <v>202.11</v>
      </c>
      <c r="X446">
        <v>51260</v>
      </c>
      <c r="Y446">
        <v>67.37</v>
      </c>
      <c r="Z446" t="s">
        <v>372</v>
      </c>
      <c r="AB446">
        <v>36888</v>
      </c>
      <c r="AD446" t="s">
        <v>912</v>
      </c>
      <c r="AE446" t="s">
        <v>911</v>
      </c>
      <c r="AF446" t="s">
        <v>914</v>
      </c>
      <c r="AH446" t="s">
        <v>913</v>
      </c>
      <c r="AI446">
        <v>0</v>
      </c>
      <c r="AJ446">
        <v>0</v>
      </c>
      <c r="AK446">
        <v>0</v>
      </c>
      <c r="AL446" t="s">
        <v>945</v>
      </c>
    </row>
  </sheetData>
  <mergeCells count="3">
    <mergeCell ref="B3:D3"/>
    <mergeCell ref="G10:H10"/>
    <mergeCell ref="G11:H11"/>
  </mergeCells>
  <pageMargins left="0.7" right="0.7" top="0.75" bottom="0.75" header="0.3" footer="0.3"/>
  <pageSetup scale="35" fitToHeight="3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145"/>
  <sheetViews>
    <sheetView showGridLines="0" zoomScaleNormal="100" workbookViewId="0">
      <pane xSplit="1" ySplit="12" topLeftCell="B94" activePane="bottomRight" state="frozen"/>
      <selection pane="topRight" activeCell="C1" sqref="C1"/>
      <selection pane="bottomLeft" activeCell="A13" sqref="A13"/>
      <selection pane="bottomRight" activeCell="C43" sqref="C43"/>
    </sheetView>
  </sheetViews>
  <sheetFormatPr defaultRowHeight="15"/>
  <cols>
    <col min="1" max="1" width="5.85546875" customWidth="1"/>
    <col min="2" max="2" width="8" customWidth="1"/>
    <col min="3" max="3" width="33.5703125" bestFit="1" customWidth="1"/>
    <col min="4" max="4" width="7.42578125" customWidth="1"/>
    <col min="5" max="6" width="8.7109375" customWidth="1"/>
    <col min="7" max="7" width="6.42578125" customWidth="1"/>
    <col min="8" max="8" width="5.5703125" customWidth="1"/>
    <col min="9" max="9" width="6.5703125" customWidth="1"/>
    <col min="10" max="10" width="7.28515625" bestFit="1" customWidth="1"/>
    <col min="11" max="11" width="5.28515625" bestFit="1" customWidth="1"/>
    <col min="12" max="12" width="6.5703125" bestFit="1" customWidth="1"/>
    <col min="13" max="13" width="9.85546875" customWidth="1"/>
    <col min="14" max="15" width="11.140625" bestFit="1" customWidth="1"/>
    <col min="16" max="16" width="10.7109375" customWidth="1"/>
    <col min="17" max="17" width="12.140625" customWidth="1"/>
    <col min="18" max="18" width="9.85546875" customWidth="1"/>
    <col min="19" max="19" width="11" bestFit="1" customWidth="1"/>
    <col min="20" max="20" width="10.5703125" customWidth="1"/>
    <col min="21" max="21" width="11.140625" bestFit="1" customWidth="1"/>
  </cols>
  <sheetData>
    <row r="1" spans="1:21">
      <c r="A1" t="s">
        <v>351</v>
      </c>
      <c r="S1">
        <f>'2180 Summary'!F6</f>
        <v>43435</v>
      </c>
      <c r="T1" t="s">
        <v>5</v>
      </c>
    </row>
    <row r="2" spans="1:21">
      <c r="A2" t="s">
        <v>392</v>
      </c>
      <c r="O2">
        <v>5</v>
      </c>
      <c r="P2" t="s">
        <v>0</v>
      </c>
      <c r="S2">
        <f>A3</f>
        <v>43799</v>
      </c>
      <c r="T2" t="s">
        <v>3</v>
      </c>
    </row>
    <row r="3" spans="1:21">
      <c r="A3" s="63">
        <f>'2180 Summary'!A3</f>
        <v>43799</v>
      </c>
      <c r="B3" s="63"/>
      <c r="C3" s="63"/>
      <c r="O3">
        <v>7</v>
      </c>
      <c r="P3" t="s">
        <v>1</v>
      </c>
    </row>
    <row r="5" spans="1:21">
      <c r="O5">
        <v>2017</v>
      </c>
      <c r="P5" t="s">
        <v>2</v>
      </c>
    </row>
    <row r="6" spans="1:21" ht="12.75" customHeight="1">
      <c r="O6">
        <v>2018</v>
      </c>
      <c r="P6" t="s">
        <v>4</v>
      </c>
    </row>
    <row r="7" spans="1:21" ht="12.75" customHeight="1"/>
    <row r="9" spans="1:21">
      <c r="S9" t="s">
        <v>7</v>
      </c>
      <c r="T9" t="s">
        <v>8</v>
      </c>
    </row>
    <row r="10" spans="1:21">
      <c r="G10" s="63" t="s">
        <v>16</v>
      </c>
      <c r="H10" s="63"/>
      <c r="I10" t="s">
        <v>11</v>
      </c>
      <c r="L10" t="s">
        <v>9</v>
      </c>
      <c r="M10" t="s">
        <v>949</v>
      </c>
      <c r="S10" t="s">
        <v>19</v>
      </c>
      <c r="T10" t="s">
        <v>19</v>
      </c>
    </row>
    <row r="11" spans="1:21">
      <c r="B11" t="s">
        <v>354</v>
      </c>
      <c r="G11" s="63" t="s">
        <v>23</v>
      </c>
      <c r="H11" s="63"/>
      <c r="I11" t="s">
        <v>17</v>
      </c>
      <c r="J11" t="s">
        <v>12</v>
      </c>
      <c r="K11" t="s">
        <v>13</v>
      </c>
      <c r="L11" t="s">
        <v>27</v>
      </c>
      <c r="M11" t="s">
        <v>27</v>
      </c>
      <c r="N11" t="s">
        <v>18</v>
      </c>
      <c r="O11" t="s">
        <v>14</v>
      </c>
      <c r="P11" t="s">
        <v>28</v>
      </c>
      <c r="Q11" t="s">
        <v>947</v>
      </c>
      <c r="R11" t="s">
        <v>1028</v>
      </c>
      <c r="S11" t="s">
        <v>14</v>
      </c>
      <c r="T11" t="s">
        <v>14</v>
      </c>
      <c r="U11" t="s">
        <v>20</v>
      </c>
    </row>
    <row r="12" spans="1:21">
      <c r="A12" t="s">
        <v>21</v>
      </c>
      <c r="B12" t="s">
        <v>581</v>
      </c>
      <c r="C12" t="s">
        <v>22</v>
      </c>
      <c r="D12" t="s">
        <v>337</v>
      </c>
      <c r="E12" t="s">
        <v>369</v>
      </c>
      <c r="G12" t="s">
        <v>9</v>
      </c>
      <c r="H12" t="s">
        <v>10</v>
      </c>
      <c r="I12" t="s">
        <v>24</v>
      </c>
      <c r="J12" t="s">
        <v>25</v>
      </c>
      <c r="K12" t="s">
        <v>26</v>
      </c>
      <c r="L12" t="s">
        <v>338</v>
      </c>
      <c r="M12" t="s">
        <v>338</v>
      </c>
      <c r="N12" t="s">
        <v>15</v>
      </c>
      <c r="O12" t="s">
        <v>15</v>
      </c>
      <c r="P12" t="s">
        <v>14</v>
      </c>
      <c r="Q12" t="s">
        <v>1027</v>
      </c>
      <c r="R12" t="s">
        <v>1029</v>
      </c>
      <c r="S12">
        <f>S1</f>
        <v>43435</v>
      </c>
      <c r="T12">
        <f>S2</f>
        <v>43799</v>
      </c>
      <c r="U12" t="s">
        <v>29</v>
      </c>
    </row>
    <row r="13" spans="1:21">
      <c r="B13" t="s">
        <v>362</v>
      </c>
    </row>
    <row r="14" spans="1:21">
      <c r="A14" t="s">
        <v>178</v>
      </c>
      <c r="B14">
        <v>9214</v>
      </c>
      <c r="C14" t="s">
        <v>469</v>
      </c>
      <c r="G14">
        <v>2005</v>
      </c>
      <c r="H14">
        <v>5</v>
      </c>
      <c r="I14">
        <v>0.33</v>
      </c>
      <c r="J14" t="s">
        <v>30</v>
      </c>
      <c r="K14">
        <v>5</v>
      </c>
      <c r="L14">
        <f>G14+K14</f>
        <v>2010</v>
      </c>
      <c r="M14">
        <f>+L14+(H14/12)</f>
        <v>2010.4166666666667</v>
      </c>
      <c r="N14">
        <v>14593.5</v>
      </c>
      <c r="O14">
        <f>N14-N14*I14</f>
        <v>9777.6450000000004</v>
      </c>
      <c r="P14">
        <f>O14/K14/12</f>
        <v>162.96074999999999</v>
      </c>
      <c r="Q14">
        <f>P14*12</f>
        <v>1955.529</v>
      </c>
      <c r="R14">
        <f>+IF(M14&lt;=$O$6,0,IF(L14&gt;$O$5,Q14,(P14*G14)))</f>
        <v>0</v>
      </c>
      <c r="S14">
        <f>+IF(R14=0,N14,IF($O$5-G14&lt;1,0,(($O$5-G14)*Q14)))</f>
        <v>14593.5</v>
      </c>
      <c r="T14">
        <f>+IF(R14=0,S14,S14+R14)</f>
        <v>14593.5</v>
      </c>
      <c r="U14">
        <f>+IF(R14=0,0,((N14-S14)+(N14-T14))/2)</f>
        <v>0</v>
      </c>
    </row>
    <row r="15" spans="1:21">
      <c r="A15" t="s">
        <v>178</v>
      </c>
      <c r="B15">
        <v>9222</v>
      </c>
      <c r="C15" t="s">
        <v>200</v>
      </c>
      <c r="G15">
        <v>2008</v>
      </c>
      <c r="H15">
        <v>2</v>
      </c>
      <c r="I15">
        <v>0.33</v>
      </c>
      <c r="J15" t="s">
        <v>30</v>
      </c>
      <c r="K15">
        <v>5</v>
      </c>
      <c r="L15">
        <f t="shared" ref="L15:L35" si="0">G15+K15</f>
        <v>2013</v>
      </c>
      <c r="M15">
        <f t="shared" ref="M15:M35" si="1">+L15+(H15/12)</f>
        <v>2013.1666666666667</v>
      </c>
      <c r="N15">
        <v>47544.85</v>
      </c>
      <c r="O15">
        <f t="shared" ref="O15:O35" si="2">N15-N15*I15</f>
        <v>31855.049500000001</v>
      </c>
      <c r="P15">
        <f t="shared" ref="P15:P35" si="3">O15/K15/12</f>
        <v>530.91749166666671</v>
      </c>
      <c r="Q15">
        <f t="shared" ref="Q15:Q35" si="4">P15*12</f>
        <v>6371.0099000000009</v>
      </c>
      <c r="R15">
        <f t="shared" ref="R15:R35" si="5">+IF(M15&lt;=$O$6,0,IF(L15&gt;$O$5,Q15,(P15*G15)))</f>
        <v>0</v>
      </c>
      <c r="S15">
        <f t="shared" ref="S15:S35" si="6">+IF(R15=0,N15,IF($O$5-G15&lt;1,0,(($O$5-G15)*Q15)))</f>
        <v>47544.85</v>
      </c>
      <c r="T15">
        <f t="shared" ref="T15:T35" si="7">+IF(R15=0,S15,S15+R15)</f>
        <v>47544.85</v>
      </c>
      <c r="U15">
        <f t="shared" ref="U15:U35" si="8">+IF(R15=0,0,((N15-S15)+(N15-T15))/2)</f>
        <v>0</v>
      </c>
    </row>
    <row r="16" spans="1:21">
      <c r="C16" t="s">
        <v>594</v>
      </c>
      <c r="D16">
        <v>86839</v>
      </c>
      <c r="G16">
        <v>2008</v>
      </c>
      <c r="H16">
        <v>11</v>
      </c>
      <c r="I16">
        <v>0</v>
      </c>
      <c r="J16" t="s">
        <v>30</v>
      </c>
      <c r="K16">
        <v>3</v>
      </c>
      <c r="L16">
        <f t="shared" si="0"/>
        <v>2011</v>
      </c>
      <c r="M16">
        <f t="shared" si="1"/>
        <v>2011.9166666666667</v>
      </c>
      <c r="N16">
        <v>1000</v>
      </c>
      <c r="O16">
        <f t="shared" si="2"/>
        <v>1000</v>
      </c>
      <c r="P16">
        <f t="shared" si="3"/>
        <v>27.777777777777775</v>
      </c>
      <c r="Q16">
        <f t="shared" si="4"/>
        <v>333.33333333333331</v>
      </c>
      <c r="R16">
        <f t="shared" si="5"/>
        <v>0</v>
      </c>
      <c r="S16">
        <f t="shared" si="6"/>
        <v>1000</v>
      </c>
      <c r="T16">
        <f t="shared" si="7"/>
        <v>1000</v>
      </c>
      <c r="U16">
        <f t="shared" si="8"/>
        <v>0</v>
      </c>
    </row>
    <row r="17" spans="2:21">
      <c r="B17">
        <v>1</v>
      </c>
      <c r="C17" t="s">
        <v>240</v>
      </c>
      <c r="G17">
        <v>2009</v>
      </c>
      <c r="H17">
        <v>5</v>
      </c>
      <c r="I17">
        <v>0</v>
      </c>
      <c r="J17" t="s">
        <v>30</v>
      </c>
      <c r="K17">
        <v>5</v>
      </c>
      <c r="L17">
        <f t="shared" si="0"/>
        <v>2014</v>
      </c>
      <c r="M17">
        <f t="shared" si="1"/>
        <v>2014.4166666666667</v>
      </c>
      <c r="N17">
        <v>789.55</v>
      </c>
      <c r="O17">
        <f t="shared" si="2"/>
        <v>789.55</v>
      </c>
      <c r="P17">
        <f t="shared" si="3"/>
        <v>13.159166666666666</v>
      </c>
      <c r="Q17">
        <f t="shared" si="4"/>
        <v>157.91</v>
      </c>
      <c r="R17">
        <f t="shared" si="5"/>
        <v>0</v>
      </c>
      <c r="S17">
        <f t="shared" si="6"/>
        <v>789.55</v>
      </c>
      <c r="T17">
        <f t="shared" si="7"/>
        <v>789.55</v>
      </c>
      <c r="U17">
        <f t="shared" si="8"/>
        <v>0</v>
      </c>
    </row>
    <row r="18" spans="2:21">
      <c r="B18">
        <v>1</v>
      </c>
      <c r="C18" t="s">
        <v>577</v>
      </c>
      <c r="G18">
        <v>2009</v>
      </c>
      <c r="H18">
        <v>10</v>
      </c>
      <c r="I18">
        <v>0</v>
      </c>
      <c r="J18" t="s">
        <v>30</v>
      </c>
      <c r="K18">
        <v>5</v>
      </c>
      <c r="L18">
        <f t="shared" si="0"/>
        <v>2014</v>
      </c>
      <c r="M18">
        <f t="shared" si="1"/>
        <v>2014.8333333333333</v>
      </c>
      <c r="N18">
        <v>3036.35</v>
      </c>
      <c r="O18">
        <f t="shared" si="2"/>
        <v>3036.35</v>
      </c>
      <c r="P18">
        <f t="shared" si="3"/>
        <v>50.605833333333329</v>
      </c>
      <c r="Q18">
        <f t="shared" si="4"/>
        <v>607.27</v>
      </c>
      <c r="R18">
        <f t="shared" si="5"/>
        <v>0</v>
      </c>
      <c r="S18">
        <f t="shared" si="6"/>
        <v>3036.35</v>
      </c>
      <c r="T18">
        <f t="shared" si="7"/>
        <v>3036.35</v>
      </c>
      <c r="U18">
        <f t="shared" si="8"/>
        <v>0</v>
      </c>
    </row>
    <row r="19" spans="2:21">
      <c r="C19" t="s">
        <v>510</v>
      </c>
      <c r="D19">
        <v>82331</v>
      </c>
      <c r="E19" t="s">
        <v>372</v>
      </c>
      <c r="G19">
        <v>2011</v>
      </c>
      <c r="H19">
        <v>3</v>
      </c>
      <c r="I19">
        <v>0</v>
      </c>
      <c r="J19" t="s">
        <v>30</v>
      </c>
      <c r="K19">
        <v>5</v>
      </c>
      <c r="L19">
        <f t="shared" si="0"/>
        <v>2016</v>
      </c>
      <c r="M19">
        <f t="shared" si="1"/>
        <v>2016.25</v>
      </c>
      <c r="N19">
        <v>7305.94</v>
      </c>
      <c r="O19">
        <f t="shared" si="2"/>
        <v>7305.94</v>
      </c>
      <c r="P19">
        <f t="shared" si="3"/>
        <v>121.76566666666666</v>
      </c>
      <c r="Q19">
        <f t="shared" si="4"/>
        <v>1461.1879999999999</v>
      </c>
      <c r="R19">
        <f t="shared" si="5"/>
        <v>0</v>
      </c>
      <c r="S19">
        <f t="shared" si="6"/>
        <v>7305.94</v>
      </c>
      <c r="T19">
        <f t="shared" si="7"/>
        <v>7305.94</v>
      </c>
      <c r="U19">
        <f t="shared" si="8"/>
        <v>0</v>
      </c>
    </row>
    <row r="20" spans="2:21">
      <c r="C20" t="s">
        <v>578</v>
      </c>
      <c r="D20" t="s">
        <v>511</v>
      </c>
      <c r="G20">
        <v>2011</v>
      </c>
      <c r="H20">
        <v>3</v>
      </c>
      <c r="I20">
        <v>0</v>
      </c>
      <c r="J20" t="s">
        <v>30</v>
      </c>
      <c r="K20">
        <v>5</v>
      </c>
      <c r="L20">
        <f t="shared" si="0"/>
        <v>2016</v>
      </c>
      <c r="M20">
        <f t="shared" si="1"/>
        <v>2016.25</v>
      </c>
      <c r="N20">
        <f>121878.12+1737.87</f>
        <v>123615.98999999999</v>
      </c>
      <c r="O20">
        <f t="shared" si="2"/>
        <v>123615.98999999999</v>
      </c>
      <c r="P20">
        <f t="shared" si="3"/>
        <v>2060.2664999999997</v>
      </c>
      <c r="Q20">
        <f t="shared" si="4"/>
        <v>24723.197999999997</v>
      </c>
      <c r="R20">
        <f t="shared" si="5"/>
        <v>0</v>
      </c>
      <c r="S20">
        <f t="shared" si="6"/>
        <v>123615.98999999999</v>
      </c>
      <c r="T20">
        <f t="shared" si="7"/>
        <v>123615.98999999999</v>
      </c>
      <c r="U20">
        <f t="shared" si="8"/>
        <v>0</v>
      </c>
    </row>
    <row r="21" spans="2:21">
      <c r="C21" t="s">
        <v>527</v>
      </c>
      <c r="D21">
        <v>84028</v>
      </c>
      <c r="E21">
        <v>80461</v>
      </c>
      <c r="G21">
        <v>2011</v>
      </c>
      <c r="H21">
        <v>3</v>
      </c>
      <c r="I21">
        <v>0</v>
      </c>
      <c r="J21" t="s">
        <v>30</v>
      </c>
      <c r="K21">
        <v>7</v>
      </c>
      <c r="L21">
        <f t="shared" si="0"/>
        <v>2018</v>
      </c>
      <c r="M21">
        <f t="shared" si="1"/>
        <v>2018.25</v>
      </c>
      <c r="N21">
        <v>68923.28</v>
      </c>
      <c r="O21">
        <f t="shared" si="2"/>
        <v>68923.28</v>
      </c>
      <c r="P21">
        <f t="shared" si="3"/>
        <v>820.51523809523815</v>
      </c>
      <c r="Q21">
        <f t="shared" si="4"/>
        <v>9846.1828571428578</v>
      </c>
      <c r="R21">
        <f t="shared" si="5"/>
        <v>9846.1828571428578</v>
      </c>
      <c r="S21">
        <f t="shared" si="6"/>
        <v>59077.09714285715</v>
      </c>
      <c r="T21">
        <f t="shared" si="7"/>
        <v>68923.280000000013</v>
      </c>
      <c r="U21">
        <f>+IF(R21=0,0,((N21-S21)+(N21-T21))/2)</f>
        <v>4923.0914285714171</v>
      </c>
    </row>
    <row r="22" spans="2:21">
      <c r="C22" t="s">
        <v>532</v>
      </c>
      <c r="D22">
        <v>84654</v>
      </c>
      <c r="E22" t="s">
        <v>372</v>
      </c>
      <c r="G22">
        <v>2011</v>
      </c>
      <c r="H22">
        <v>5</v>
      </c>
      <c r="I22">
        <v>0</v>
      </c>
      <c r="J22" t="s">
        <v>30</v>
      </c>
      <c r="K22">
        <v>5</v>
      </c>
      <c r="L22">
        <f t="shared" si="0"/>
        <v>2016</v>
      </c>
      <c r="M22">
        <f t="shared" si="1"/>
        <v>2016.4166666666667</v>
      </c>
      <c r="N22">
        <v>21323.33</v>
      </c>
      <c r="O22">
        <f t="shared" si="2"/>
        <v>21323.33</v>
      </c>
      <c r="P22">
        <f t="shared" si="3"/>
        <v>355.38883333333337</v>
      </c>
      <c r="Q22">
        <f t="shared" si="4"/>
        <v>4264.6660000000002</v>
      </c>
      <c r="R22">
        <f t="shared" si="5"/>
        <v>0</v>
      </c>
      <c r="S22">
        <f t="shared" si="6"/>
        <v>21323.33</v>
      </c>
      <c r="T22">
        <f t="shared" si="7"/>
        <v>21323.33</v>
      </c>
      <c r="U22">
        <f t="shared" si="8"/>
        <v>0</v>
      </c>
    </row>
    <row r="23" spans="2:21">
      <c r="C23" t="s">
        <v>743</v>
      </c>
      <c r="D23">
        <v>114876</v>
      </c>
      <c r="G23">
        <v>2011</v>
      </c>
      <c r="H23">
        <v>12</v>
      </c>
      <c r="I23">
        <v>0</v>
      </c>
      <c r="J23" t="s">
        <v>30</v>
      </c>
      <c r="K23">
        <v>5</v>
      </c>
      <c r="L23">
        <f t="shared" si="0"/>
        <v>2016</v>
      </c>
      <c r="M23">
        <f t="shared" si="1"/>
        <v>2017</v>
      </c>
      <c r="N23">
        <v>31190.89</v>
      </c>
      <c r="O23">
        <f t="shared" si="2"/>
        <v>31190.89</v>
      </c>
      <c r="P23">
        <f t="shared" si="3"/>
        <v>519.84816666666666</v>
      </c>
      <c r="Q23">
        <f t="shared" si="4"/>
        <v>6238.1779999999999</v>
      </c>
      <c r="R23">
        <f t="shared" si="5"/>
        <v>0</v>
      </c>
      <c r="S23">
        <f t="shared" si="6"/>
        <v>31190.89</v>
      </c>
      <c r="T23">
        <f t="shared" si="7"/>
        <v>31190.89</v>
      </c>
      <c r="U23">
        <f t="shared" si="8"/>
        <v>0</v>
      </c>
    </row>
    <row r="24" spans="2:21">
      <c r="C24" t="s">
        <v>631</v>
      </c>
      <c r="D24">
        <v>91123</v>
      </c>
      <c r="G24">
        <v>2012</v>
      </c>
      <c r="H24">
        <v>2</v>
      </c>
      <c r="I24">
        <v>0</v>
      </c>
      <c r="J24" t="s">
        <v>30</v>
      </c>
      <c r="K24">
        <v>5</v>
      </c>
      <c r="L24">
        <f t="shared" si="0"/>
        <v>2017</v>
      </c>
      <c r="M24">
        <f t="shared" si="1"/>
        <v>2017.1666666666667</v>
      </c>
      <c r="N24">
        <v>804.21</v>
      </c>
      <c r="O24">
        <f t="shared" si="2"/>
        <v>804.21</v>
      </c>
      <c r="P24">
        <f t="shared" si="3"/>
        <v>13.403500000000001</v>
      </c>
      <c r="Q24">
        <f t="shared" si="4"/>
        <v>160.84200000000001</v>
      </c>
      <c r="R24">
        <f t="shared" si="5"/>
        <v>0</v>
      </c>
      <c r="S24">
        <f t="shared" si="6"/>
        <v>804.21</v>
      </c>
      <c r="T24">
        <f t="shared" si="7"/>
        <v>804.21</v>
      </c>
      <c r="U24">
        <f t="shared" si="8"/>
        <v>0</v>
      </c>
    </row>
    <row r="25" spans="2:21">
      <c r="C25" t="s">
        <v>635</v>
      </c>
      <c r="D25" t="s">
        <v>636</v>
      </c>
      <c r="G25">
        <v>2012</v>
      </c>
      <c r="H25">
        <v>4</v>
      </c>
      <c r="I25">
        <v>0</v>
      </c>
      <c r="J25" t="s">
        <v>30</v>
      </c>
      <c r="K25">
        <v>5</v>
      </c>
      <c r="L25">
        <f t="shared" si="0"/>
        <v>2017</v>
      </c>
      <c r="M25">
        <f t="shared" si="1"/>
        <v>2017.3333333333333</v>
      </c>
      <c r="N25">
        <f>1046+523</f>
        <v>1569</v>
      </c>
      <c r="O25">
        <f t="shared" si="2"/>
        <v>1569</v>
      </c>
      <c r="P25">
        <f t="shared" si="3"/>
        <v>26.150000000000002</v>
      </c>
      <c r="Q25">
        <f t="shared" si="4"/>
        <v>313.8</v>
      </c>
      <c r="R25">
        <f t="shared" si="5"/>
        <v>0</v>
      </c>
      <c r="S25">
        <f t="shared" si="6"/>
        <v>1569</v>
      </c>
      <c r="T25">
        <f t="shared" si="7"/>
        <v>1569</v>
      </c>
      <c r="U25">
        <f t="shared" si="8"/>
        <v>0</v>
      </c>
    </row>
    <row r="26" spans="2:21">
      <c r="C26" t="s">
        <v>639</v>
      </c>
      <c r="D26">
        <v>95598</v>
      </c>
      <c r="G26">
        <v>2012</v>
      </c>
      <c r="H26">
        <v>8</v>
      </c>
      <c r="I26">
        <v>0</v>
      </c>
      <c r="J26" t="s">
        <v>30</v>
      </c>
      <c r="K26">
        <v>8</v>
      </c>
      <c r="L26">
        <f t="shared" si="0"/>
        <v>2020</v>
      </c>
      <c r="M26">
        <f t="shared" si="1"/>
        <v>2020.6666666666667</v>
      </c>
      <c r="N26">
        <v>1078</v>
      </c>
      <c r="O26">
        <f t="shared" si="2"/>
        <v>1078</v>
      </c>
      <c r="P26">
        <f t="shared" si="3"/>
        <v>11.229166666666666</v>
      </c>
      <c r="Q26">
        <f t="shared" si="4"/>
        <v>134.75</v>
      </c>
      <c r="R26">
        <f t="shared" si="5"/>
        <v>134.75</v>
      </c>
      <c r="S26">
        <f t="shared" si="6"/>
        <v>673.75</v>
      </c>
      <c r="T26">
        <f t="shared" si="7"/>
        <v>808.5</v>
      </c>
      <c r="U26">
        <f>+IF(R26=0,0,((N26-S26)+(N26-T26))/2)</f>
        <v>336.875</v>
      </c>
    </row>
    <row r="27" spans="2:21">
      <c r="B27">
        <v>2</v>
      </c>
      <c r="C27" t="s">
        <v>649</v>
      </c>
      <c r="D27">
        <v>98423</v>
      </c>
      <c r="G27">
        <v>2012</v>
      </c>
      <c r="H27">
        <v>11</v>
      </c>
      <c r="I27">
        <v>0</v>
      </c>
      <c r="J27" t="s">
        <v>30</v>
      </c>
      <c r="K27">
        <v>5</v>
      </c>
      <c r="L27">
        <f t="shared" si="0"/>
        <v>2017</v>
      </c>
      <c r="M27">
        <f t="shared" si="1"/>
        <v>2017.9166666666667</v>
      </c>
      <c r="N27">
        <v>11322</v>
      </c>
      <c r="O27">
        <f t="shared" si="2"/>
        <v>11322</v>
      </c>
      <c r="P27">
        <f t="shared" si="3"/>
        <v>188.70000000000002</v>
      </c>
      <c r="Q27">
        <f t="shared" si="4"/>
        <v>2264.4</v>
      </c>
      <c r="R27">
        <f t="shared" si="5"/>
        <v>0</v>
      </c>
      <c r="S27">
        <f t="shared" si="6"/>
        <v>11322</v>
      </c>
      <c r="T27">
        <f t="shared" si="7"/>
        <v>11322</v>
      </c>
      <c r="U27">
        <f t="shared" si="8"/>
        <v>0</v>
      </c>
    </row>
    <row r="28" spans="2:21">
      <c r="C28" t="s">
        <v>639</v>
      </c>
      <c r="D28">
        <v>101995</v>
      </c>
      <c r="G28">
        <v>2013</v>
      </c>
      <c r="H28">
        <v>1</v>
      </c>
      <c r="I28">
        <v>0</v>
      </c>
      <c r="J28" t="s">
        <v>30</v>
      </c>
      <c r="K28">
        <v>8</v>
      </c>
      <c r="L28">
        <f t="shared" si="0"/>
        <v>2021</v>
      </c>
      <c r="M28">
        <f t="shared" si="1"/>
        <v>2021.0833333333333</v>
      </c>
      <c r="N28">
        <v>1066</v>
      </c>
      <c r="O28">
        <f t="shared" si="2"/>
        <v>1066</v>
      </c>
      <c r="P28">
        <f t="shared" si="3"/>
        <v>11.104166666666666</v>
      </c>
      <c r="Q28">
        <f t="shared" si="4"/>
        <v>133.25</v>
      </c>
      <c r="R28">
        <f t="shared" si="5"/>
        <v>133.25</v>
      </c>
      <c r="S28">
        <f t="shared" si="6"/>
        <v>533</v>
      </c>
      <c r="T28">
        <f t="shared" si="7"/>
        <v>666.25</v>
      </c>
      <c r="U28">
        <f t="shared" si="8"/>
        <v>466.375</v>
      </c>
    </row>
    <row r="29" spans="2:21">
      <c r="B29">
        <v>1</v>
      </c>
      <c r="C29" t="s">
        <v>719</v>
      </c>
      <c r="D29">
        <v>115909</v>
      </c>
      <c r="G29">
        <v>2014</v>
      </c>
      <c r="H29">
        <v>6</v>
      </c>
      <c r="I29">
        <v>0</v>
      </c>
      <c r="J29" t="s">
        <v>30</v>
      </c>
      <c r="K29">
        <v>5</v>
      </c>
      <c r="L29">
        <f t="shared" si="0"/>
        <v>2019</v>
      </c>
      <c r="M29">
        <f t="shared" si="1"/>
        <v>2019.5</v>
      </c>
      <c r="N29">
        <v>4221.4399999999996</v>
      </c>
      <c r="O29">
        <f t="shared" si="2"/>
        <v>4221.4399999999996</v>
      </c>
      <c r="P29">
        <f t="shared" si="3"/>
        <v>70.35733333333333</v>
      </c>
      <c r="Q29">
        <f t="shared" si="4"/>
        <v>844.28800000000001</v>
      </c>
      <c r="R29">
        <f t="shared" si="5"/>
        <v>844.28800000000001</v>
      </c>
      <c r="S29">
        <f t="shared" si="6"/>
        <v>2532.864</v>
      </c>
      <c r="T29">
        <f t="shared" si="7"/>
        <v>3377.152</v>
      </c>
      <c r="U29">
        <f t="shared" si="8"/>
        <v>1266.4319999999996</v>
      </c>
    </row>
    <row r="30" spans="2:21">
      <c r="C30" t="s">
        <v>731</v>
      </c>
      <c r="D30">
        <v>118539</v>
      </c>
      <c r="G30">
        <v>2014</v>
      </c>
      <c r="H30">
        <v>12</v>
      </c>
      <c r="I30">
        <v>0</v>
      </c>
      <c r="J30" t="s">
        <v>30</v>
      </c>
      <c r="K30">
        <v>5</v>
      </c>
      <c r="L30">
        <f t="shared" si="0"/>
        <v>2019</v>
      </c>
      <c r="M30">
        <f t="shared" si="1"/>
        <v>2020</v>
      </c>
      <c r="N30">
        <v>12525.06</v>
      </c>
      <c r="O30">
        <f t="shared" si="2"/>
        <v>12525.06</v>
      </c>
      <c r="P30">
        <f t="shared" si="3"/>
        <v>208.75099999999998</v>
      </c>
      <c r="Q30">
        <f t="shared" si="4"/>
        <v>2505.0119999999997</v>
      </c>
      <c r="R30">
        <f t="shared" si="5"/>
        <v>2505.0119999999997</v>
      </c>
      <c r="S30">
        <f t="shared" si="6"/>
        <v>7515.0359999999991</v>
      </c>
      <c r="T30">
        <f t="shared" si="7"/>
        <v>10020.047999999999</v>
      </c>
      <c r="U30">
        <f t="shared" si="8"/>
        <v>3757.5180000000005</v>
      </c>
    </row>
    <row r="31" spans="2:21">
      <c r="C31" t="s">
        <v>733</v>
      </c>
      <c r="D31">
        <v>118538</v>
      </c>
      <c r="G31">
        <v>2014</v>
      </c>
      <c r="H31">
        <v>12</v>
      </c>
      <c r="I31">
        <v>0</v>
      </c>
      <c r="J31" t="s">
        <v>30</v>
      </c>
      <c r="K31">
        <v>5</v>
      </c>
      <c r="L31">
        <f t="shared" si="0"/>
        <v>2019</v>
      </c>
      <c r="M31">
        <f t="shared" si="1"/>
        <v>2020</v>
      </c>
      <c r="N31">
        <v>6310.39</v>
      </c>
      <c r="O31">
        <f t="shared" si="2"/>
        <v>6310.39</v>
      </c>
      <c r="P31">
        <f t="shared" si="3"/>
        <v>105.17316666666666</v>
      </c>
      <c r="Q31">
        <f t="shared" si="4"/>
        <v>1262.078</v>
      </c>
      <c r="R31">
        <f t="shared" si="5"/>
        <v>1262.078</v>
      </c>
      <c r="S31">
        <f t="shared" si="6"/>
        <v>3786.2339999999999</v>
      </c>
      <c r="T31">
        <f t="shared" si="7"/>
        <v>5048.3119999999999</v>
      </c>
      <c r="U31">
        <f t="shared" si="8"/>
        <v>1893.1170000000004</v>
      </c>
    </row>
    <row r="32" spans="2:21">
      <c r="B32">
        <v>9214</v>
      </c>
      <c r="C32" t="s">
        <v>756</v>
      </c>
      <c r="D32">
        <v>122789</v>
      </c>
      <c r="G32">
        <v>2015</v>
      </c>
      <c r="H32">
        <v>5</v>
      </c>
      <c r="I32">
        <v>0</v>
      </c>
      <c r="J32" t="s">
        <v>30</v>
      </c>
      <c r="K32">
        <v>3</v>
      </c>
      <c r="L32">
        <f t="shared" si="0"/>
        <v>2018</v>
      </c>
      <c r="M32">
        <f t="shared" si="1"/>
        <v>2018.4166666666667</v>
      </c>
      <c r="N32">
        <v>11461.68</v>
      </c>
      <c r="O32">
        <f t="shared" si="2"/>
        <v>11461.68</v>
      </c>
      <c r="P32">
        <f t="shared" si="3"/>
        <v>318.38</v>
      </c>
      <c r="Q32">
        <f t="shared" si="4"/>
        <v>3820.56</v>
      </c>
      <c r="R32">
        <f t="shared" si="5"/>
        <v>3820.56</v>
      </c>
      <c r="S32">
        <f t="shared" si="6"/>
        <v>7641.12</v>
      </c>
      <c r="T32">
        <f t="shared" si="7"/>
        <v>11461.68</v>
      </c>
      <c r="U32">
        <f t="shared" si="8"/>
        <v>1910.2800000000002</v>
      </c>
    </row>
    <row r="33" spans="1:21">
      <c r="B33">
        <v>7049</v>
      </c>
      <c r="C33" t="s">
        <v>763</v>
      </c>
      <c r="D33">
        <v>123428</v>
      </c>
      <c r="G33">
        <v>2015</v>
      </c>
      <c r="H33">
        <v>5</v>
      </c>
      <c r="I33">
        <v>0.33</v>
      </c>
      <c r="J33" t="s">
        <v>30</v>
      </c>
      <c r="K33">
        <v>5</v>
      </c>
      <c r="L33">
        <f t="shared" si="0"/>
        <v>2020</v>
      </c>
      <c r="M33">
        <f t="shared" si="1"/>
        <v>2020.4166666666667</v>
      </c>
      <c r="N33">
        <v>31902.34</v>
      </c>
      <c r="O33">
        <f t="shared" si="2"/>
        <v>21374.567799999997</v>
      </c>
      <c r="P33">
        <f t="shared" si="3"/>
        <v>356.24279666666661</v>
      </c>
      <c r="Q33">
        <f t="shared" si="4"/>
        <v>4274.9135599999991</v>
      </c>
      <c r="R33">
        <f t="shared" si="5"/>
        <v>4274.9135599999991</v>
      </c>
      <c r="S33">
        <f t="shared" si="6"/>
        <v>8549.8271199999981</v>
      </c>
      <c r="T33">
        <f t="shared" si="7"/>
        <v>12824.740679999997</v>
      </c>
      <c r="U33">
        <f t="shared" si="8"/>
        <v>21215.056100000002</v>
      </c>
    </row>
    <row r="34" spans="1:21">
      <c r="B34">
        <v>6052</v>
      </c>
      <c r="C34" t="s">
        <v>761</v>
      </c>
      <c r="D34">
        <v>123432</v>
      </c>
      <c r="G34">
        <v>2015</v>
      </c>
      <c r="H34">
        <v>6</v>
      </c>
      <c r="I34">
        <v>0.33</v>
      </c>
      <c r="J34" t="s">
        <v>30</v>
      </c>
      <c r="K34">
        <v>5</v>
      </c>
      <c r="L34">
        <f t="shared" si="0"/>
        <v>2020</v>
      </c>
      <c r="M34">
        <f t="shared" si="1"/>
        <v>2020.5</v>
      </c>
      <c r="N34">
        <v>29540.76</v>
      </c>
      <c r="O34">
        <f t="shared" si="2"/>
        <v>19792.309199999996</v>
      </c>
      <c r="P34">
        <f t="shared" si="3"/>
        <v>329.8718199999999</v>
      </c>
      <c r="Q34">
        <f t="shared" si="4"/>
        <v>3958.461839999999</v>
      </c>
      <c r="R34">
        <f t="shared" si="5"/>
        <v>3958.461839999999</v>
      </c>
      <c r="S34">
        <f t="shared" si="6"/>
        <v>7916.9236799999981</v>
      </c>
      <c r="T34">
        <f t="shared" si="7"/>
        <v>11875.385519999996</v>
      </c>
      <c r="U34">
        <f t="shared" si="8"/>
        <v>19644.6054</v>
      </c>
    </row>
    <row r="35" spans="1:21">
      <c r="C35" t="s">
        <v>830</v>
      </c>
      <c r="D35">
        <v>133011</v>
      </c>
      <c r="G35">
        <v>2016</v>
      </c>
      <c r="H35">
        <v>4</v>
      </c>
      <c r="I35">
        <v>0</v>
      </c>
      <c r="J35" t="s">
        <v>30</v>
      </c>
      <c r="K35">
        <v>5</v>
      </c>
      <c r="L35">
        <f t="shared" si="0"/>
        <v>2021</v>
      </c>
      <c r="M35">
        <f t="shared" si="1"/>
        <v>2021.3333333333333</v>
      </c>
      <c r="N35">
        <v>16000</v>
      </c>
      <c r="O35">
        <f t="shared" si="2"/>
        <v>16000</v>
      </c>
      <c r="P35">
        <f t="shared" si="3"/>
        <v>266.66666666666669</v>
      </c>
      <c r="Q35">
        <f t="shared" si="4"/>
        <v>3200</v>
      </c>
      <c r="R35">
        <f t="shared" si="5"/>
        <v>3200</v>
      </c>
      <c r="S35">
        <f t="shared" si="6"/>
        <v>3200</v>
      </c>
      <c r="T35">
        <f t="shared" si="7"/>
        <v>6400</v>
      </c>
      <c r="U35">
        <f t="shared" si="8"/>
        <v>11200</v>
      </c>
    </row>
    <row r="37" spans="1:21">
      <c r="L37" t="s">
        <v>363</v>
      </c>
      <c r="N37">
        <f>SUM(N14:N36)</f>
        <v>447124.56000000006</v>
      </c>
      <c r="O37">
        <f>SUM(O14:O36)</f>
        <v>406342.68150000006</v>
      </c>
      <c r="P37">
        <f>SUM(P14:P36)</f>
        <v>6569.2350408730163</v>
      </c>
      <c r="Q37">
        <f>SUM(Q14:Q36)</f>
        <v>78830.820490476195</v>
      </c>
      <c r="S37">
        <f>SUM(S14:S36)</f>
        <v>365521.46194285719</v>
      </c>
      <c r="T37">
        <f>SUM(T14:T36)</f>
        <v>395500.95820000005</v>
      </c>
      <c r="U37">
        <f>SUM(U14:U36)</f>
        <v>66613.349928571421</v>
      </c>
    </row>
    <row r="39" spans="1:21">
      <c r="B39" t="s">
        <v>364</v>
      </c>
    </row>
    <row r="40" spans="1:21">
      <c r="A40" t="s">
        <v>468</v>
      </c>
      <c r="B40">
        <v>6035</v>
      </c>
      <c r="C40" t="s">
        <v>199</v>
      </c>
      <c r="G40">
        <v>2006</v>
      </c>
      <c r="H40">
        <v>3</v>
      </c>
      <c r="I40">
        <v>0.2</v>
      </c>
      <c r="J40" t="s">
        <v>30</v>
      </c>
      <c r="K40">
        <v>7</v>
      </c>
      <c r="L40">
        <f t="shared" ref="L40:L51" si="9">G40+K40</f>
        <v>2013</v>
      </c>
      <c r="M40">
        <f t="shared" ref="M40:M51" si="10">+L40+(H40/12)</f>
        <v>2013.25</v>
      </c>
      <c r="N40">
        <v>20450.8</v>
      </c>
      <c r="O40">
        <f>N40-N40*I40</f>
        <v>16360.64</v>
      </c>
      <c r="P40">
        <f>O40/K40/12</f>
        <v>194.7695238095238</v>
      </c>
      <c r="Q40">
        <f t="shared" ref="Q40:Q51" si="11">P40*12</f>
        <v>2337.2342857142858</v>
      </c>
      <c r="R40">
        <f t="shared" ref="R40:R51" si="12">+IF(M40&lt;=$O$6,0,IF(L40&gt;$O$5,Q40,(P40*G40)))</f>
        <v>0</v>
      </c>
      <c r="S40">
        <f t="shared" ref="S40:S51" si="13">+IF(R40=0,N40,IF($O$5-G40&lt;1,0,(($O$5-G40)*Q40)))</f>
        <v>20450.8</v>
      </c>
      <c r="T40">
        <f t="shared" ref="T40:T51" si="14">+IF(R40=0,S40,S40+R40)</f>
        <v>20450.8</v>
      </c>
      <c r="U40">
        <f>+IF(R40=0,0,((N40-S40)+(N40-T40))/2)</f>
        <v>0</v>
      </c>
    </row>
    <row r="41" spans="1:21">
      <c r="B41">
        <v>6038</v>
      </c>
      <c r="C41" t="s">
        <v>872</v>
      </c>
      <c r="D41">
        <v>180957</v>
      </c>
      <c r="E41" t="s">
        <v>372</v>
      </c>
      <c r="G41">
        <v>2008</v>
      </c>
      <c r="H41">
        <v>11</v>
      </c>
      <c r="I41">
        <v>0</v>
      </c>
      <c r="J41" t="s">
        <v>30</v>
      </c>
      <c r="K41">
        <v>3</v>
      </c>
      <c r="L41">
        <f>G41+K41</f>
        <v>2011</v>
      </c>
      <c r="M41">
        <f t="shared" si="10"/>
        <v>2011.9166666666667</v>
      </c>
      <c r="N41">
        <v>13500</v>
      </c>
      <c r="O41">
        <f t="shared" ref="O41:O51" si="15">N41-N41*I41</f>
        <v>13500</v>
      </c>
      <c r="P41">
        <f t="shared" ref="P41:P51" si="16">O41/K41/12</f>
        <v>375</v>
      </c>
      <c r="Q41">
        <f t="shared" si="11"/>
        <v>4500</v>
      </c>
      <c r="R41">
        <f t="shared" si="12"/>
        <v>0</v>
      </c>
      <c r="S41">
        <f t="shared" si="13"/>
        <v>13500</v>
      </c>
      <c r="T41">
        <f t="shared" si="14"/>
        <v>13500</v>
      </c>
      <c r="U41">
        <f t="shared" ref="U41:U51" si="17">+IF(R41=0,0,((N41-S41)+(N41-T41))/2)</f>
        <v>0</v>
      </c>
    </row>
    <row r="42" spans="1:21">
      <c r="A42" t="s">
        <v>468</v>
      </c>
      <c r="B42">
        <v>6043</v>
      </c>
      <c r="C42" t="s">
        <v>579</v>
      </c>
      <c r="D42">
        <v>73834</v>
      </c>
      <c r="E42" t="s">
        <v>372</v>
      </c>
      <c r="G42">
        <v>2010</v>
      </c>
      <c r="H42">
        <v>4</v>
      </c>
      <c r="I42">
        <v>0.33</v>
      </c>
      <c r="J42" t="s">
        <v>30</v>
      </c>
      <c r="K42">
        <v>5</v>
      </c>
      <c r="L42">
        <f t="shared" si="9"/>
        <v>2015</v>
      </c>
      <c r="M42">
        <f t="shared" si="10"/>
        <v>2015.3333333333333</v>
      </c>
      <c r="N42">
        <v>15000</v>
      </c>
      <c r="O42">
        <f t="shared" si="15"/>
        <v>10050</v>
      </c>
      <c r="P42">
        <f t="shared" si="16"/>
        <v>167.5</v>
      </c>
      <c r="Q42">
        <f t="shared" si="11"/>
        <v>2010</v>
      </c>
      <c r="R42">
        <f t="shared" si="12"/>
        <v>0</v>
      </c>
      <c r="S42">
        <f t="shared" si="13"/>
        <v>15000</v>
      </c>
      <c r="T42">
        <f t="shared" si="14"/>
        <v>15000</v>
      </c>
      <c r="U42">
        <f t="shared" si="17"/>
        <v>0</v>
      </c>
    </row>
    <row r="43" spans="1:21">
      <c r="A43" t="s">
        <v>468</v>
      </c>
      <c r="B43">
        <v>6046</v>
      </c>
      <c r="C43" t="s">
        <v>485</v>
      </c>
      <c r="D43">
        <v>80669</v>
      </c>
      <c r="E43" t="s">
        <v>372</v>
      </c>
      <c r="G43">
        <v>2011</v>
      </c>
      <c r="H43">
        <v>3</v>
      </c>
      <c r="I43">
        <v>0.33</v>
      </c>
      <c r="J43" t="s">
        <v>30</v>
      </c>
      <c r="K43">
        <v>5</v>
      </c>
      <c r="L43">
        <f t="shared" si="9"/>
        <v>2016</v>
      </c>
      <c r="M43">
        <f t="shared" si="10"/>
        <v>2016.25</v>
      </c>
      <c r="N43">
        <v>20000</v>
      </c>
      <c r="O43">
        <f t="shared" si="15"/>
        <v>13400</v>
      </c>
      <c r="P43">
        <f t="shared" si="16"/>
        <v>223.33333333333334</v>
      </c>
      <c r="Q43">
        <f t="shared" si="11"/>
        <v>2680</v>
      </c>
      <c r="R43">
        <f t="shared" si="12"/>
        <v>0</v>
      </c>
      <c r="S43">
        <f t="shared" si="13"/>
        <v>20000</v>
      </c>
      <c r="T43">
        <f t="shared" si="14"/>
        <v>20000</v>
      </c>
      <c r="U43">
        <f t="shared" si="17"/>
        <v>0</v>
      </c>
    </row>
    <row r="44" spans="1:21">
      <c r="B44">
        <v>6048</v>
      </c>
      <c r="C44" t="s">
        <v>666</v>
      </c>
      <c r="D44">
        <v>103263</v>
      </c>
      <c r="G44">
        <v>2013</v>
      </c>
      <c r="H44">
        <v>4</v>
      </c>
      <c r="I44">
        <v>0.33</v>
      </c>
      <c r="J44" t="s">
        <v>30</v>
      </c>
      <c r="K44">
        <v>5</v>
      </c>
      <c r="L44">
        <f t="shared" si="9"/>
        <v>2018</v>
      </c>
      <c r="M44">
        <f t="shared" si="10"/>
        <v>2018.3333333333333</v>
      </c>
      <c r="N44">
        <v>25233.41</v>
      </c>
      <c r="O44">
        <f t="shared" si="15"/>
        <v>16906.384699999999</v>
      </c>
      <c r="P44">
        <f t="shared" si="16"/>
        <v>281.77307833333333</v>
      </c>
      <c r="Q44">
        <f t="shared" si="11"/>
        <v>3381.2769399999997</v>
      </c>
      <c r="R44">
        <f t="shared" si="12"/>
        <v>3381.2769399999997</v>
      </c>
      <c r="S44">
        <f t="shared" si="13"/>
        <v>13525.107759999999</v>
      </c>
      <c r="T44">
        <f t="shared" si="14"/>
        <v>16906.384699999999</v>
      </c>
      <c r="U44">
        <f t="shared" si="17"/>
        <v>10017.663770000001</v>
      </c>
    </row>
    <row r="45" spans="1:21">
      <c r="C45" t="s">
        <v>873</v>
      </c>
      <c r="D45">
        <v>180202</v>
      </c>
      <c r="G45">
        <v>2013</v>
      </c>
      <c r="H45">
        <v>4</v>
      </c>
      <c r="I45">
        <v>0.33</v>
      </c>
      <c r="J45" t="s">
        <v>30</v>
      </c>
      <c r="K45">
        <v>5</v>
      </c>
      <c r="L45">
        <f>G45+K45</f>
        <v>2018</v>
      </c>
      <c r="M45">
        <f t="shared" si="10"/>
        <v>2018.3333333333333</v>
      </c>
      <c r="N45">
        <v>25999.99</v>
      </c>
      <c r="O45">
        <f t="shared" si="15"/>
        <v>17419.993300000002</v>
      </c>
      <c r="P45">
        <f t="shared" si="16"/>
        <v>290.3332216666667</v>
      </c>
      <c r="Q45">
        <f t="shared" si="11"/>
        <v>3483.9986600000002</v>
      </c>
      <c r="R45">
        <f t="shared" si="12"/>
        <v>3483.9986600000002</v>
      </c>
      <c r="S45">
        <f t="shared" si="13"/>
        <v>13935.994640000001</v>
      </c>
      <c r="T45">
        <f t="shared" si="14"/>
        <v>17419.993300000002</v>
      </c>
      <c r="U45">
        <f t="shared" si="17"/>
        <v>10321.99603</v>
      </c>
    </row>
    <row r="46" spans="1:21">
      <c r="A46" t="s">
        <v>468</v>
      </c>
      <c r="B46">
        <v>6049</v>
      </c>
      <c r="C46" t="s">
        <v>681</v>
      </c>
      <c r="D46">
        <v>106765</v>
      </c>
      <c r="G46">
        <v>2013</v>
      </c>
      <c r="H46">
        <v>8</v>
      </c>
      <c r="I46">
        <v>0.33</v>
      </c>
      <c r="J46" t="s">
        <v>30</v>
      </c>
      <c r="K46">
        <v>5</v>
      </c>
      <c r="L46">
        <f t="shared" si="9"/>
        <v>2018</v>
      </c>
      <c r="M46">
        <f t="shared" si="10"/>
        <v>2018.6666666666667</v>
      </c>
      <c r="N46">
        <v>23110.11</v>
      </c>
      <c r="O46">
        <f t="shared" si="15"/>
        <v>15483.7737</v>
      </c>
      <c r="P46">
        <f t="shared" si="16"/>
        <v>258.06289499999997</v>
      </c>
      <c r="Q46">
        <f t="shared" si="11"/>
        <v>3096.7547399999994</v>
      </c>
      <c r="R46">
        <f t="shared" si="12"/>
        <v>3096.7547399999994</v>
      </c>
      <c r="S46">
        <f t="shared" si="13"/>
        <v>12387.018959999998</v>
      </c>
      <c r="T46">
        <f t="shared" si="14"/>
        <v>15483.773699999998</v>
      </c>
      <c r="U46">
        <f t="shared" si="17"/>
        <v>9174.7136700000028</v>
      </c>
    </row>
    <row r="47" spans="1:21">
      <c r="A47" t="s">
        <v>468</v>
      </c>
      <c r="B47">
        <v>6051</v>
      </c>
      <c r="C47" t="s">
        <v>750</v>
      </c>
      <c r="D47">
        <v>119073</v>
      </c>
      <c r="G47">
        <v>2015</v>
      </c>
      <c r="H47">
        <v>1</v>
      </c>
      <c r="I47">
        <v>0.33</v>
      </c>
      <c r="J47" t="s">
        <v>30</v>
      </c>
      <c r="K47">
        <v>5</v>
      </c>
      <c r="L47">
        <f t="shared" si="9"/>
        <v>2020</v>
      </c>
      <c r="M47">
        <f t="shared" si="10"/>
        <v>2020.0833333333333</v>
      </c>
      <c r="N47">
        <v>27000</v>
      </c>
      <c r="O47">
        <f t="shared" si="15"/>
        <v>18090</v>
      </c>
      <c r="P47">
        <f t="shared" si="16"/>
        <v>301.5</v>
      </c>
      <c r="Q47">
        <f t="shared" si="11"/>
        <v>3618</v>
      </c>
      <c r="R47">
        <f t="shared" si="12"/>
        <v>3618</v>
      </c>
      <c r="S47">
        <f t="shared" si="13"/>
        <v>7236</v>
      </c>
      <c r="T47">
        <f t="shared" si="14"/>
        <v>10854</v>
      </c>
      <c r="U47">
        <f t="shared" si="17"/>
        <v>17955</v>
      </c>
    </row>
    <row r="48" spans="1:21">
      <c r="B48">
        <v>6055</v>
      </c>
      <c r="C48" t="s">
        <v>805</v>
      </c>
      <c r="D48">
        <v>128672</v>
      </c>
      <c r="G48">
        <v>2015</v>
      </c>
      <c r="H48">
        <v>12</v>
      </c>
      <c r="I48">
        <v>0.2</v>
      </c>
      <c r="J48" t="s">
        <v>30</v>
      </c>
      <c r="K48">
        <v>7</v>
      </c>
      <c r="L48">
        <f t="shared" si="9"/>
        <v>2022</v>
      </c>
      <c r="M48">
        <f t="shared" si="10"/>
        <v>2023</v>
      </c>
      <c r="N48">
        <v>73306.22</v>
      </c>
      <c r="O48">
        <f t="shared" si="15"/>
        <v>58644.976000000002</v>
      </c>
      <c r="P48">
        <f t="shared" si="16"/>
        <v>698.1544761904762</v>
      </c>
      <c r="Q48">
        <f t="shared" si="11"/>
        <v>8377.8537142857149</v>
      </c>
      <c r="R48">
        <f t="shared" si="12"/>
        <v>8377.8537142857149</v>
      </c>
      <c r="S48">
        <f t="shared" si="13"/>
        <v>16755.70742857143</v>
      </c>
      <c r="T48">
        <f t="shared" si="14"/>
        <v>25133.561142857143</v>
      </c>
      <c r="U48">
        <f t="shared" si="17"/>
        <v>52361.585714285713</v>
      </c>
    </row>
    <row r="49" spans="2:21">
      <c r="C49" t="s">
        <v>927</v>
      </c>
      <c r="D49">
        <v>197201</v>
      </c>
      <c r="G49">
        <v>2018</v>
      </c>
      <c r="H49">
        <v>5</v>
      </c>
      <c r="J49" t="s">
        <v>30</v>
      </c>
      <c r="K49">
        <v>10</v>
      </c>
      <c r="L49">
        <f t="shared" si="9"/>
        <v>2028</v>
      </c>
      <c r="M49">
        <f t="shared" si="10"/>
        <v>2028.4166666666667</v>
      </c>
      <c r="N49">
        <v>86454.44</v>
      </c>
      <c r="O49">
        <f t="shared" si="15"/>
        <v>86454.44</v>
      </c>
      <c r="P49">
        <f t="shared" si="16"/>
        <v>720.45366666666666</v>
      </c>
      <c r="Q49">
        <f t="shared" si="11"/>
        <v>8645.4439999999995</v>
      </c>
      <c r="R49">
        <f t="shared" si="12"/>
        <v>8645.4439999999995</v>
      </c>
      <c r="S49">
        <f t="shared" si="13"/>
        <v>0</v>
      </c>
      <c r="T49">
        <f t="shared" si="14"/>
        <v>8645.4439999999995</v>
      </c>
      <c r="U49">
        <f t="shared" si="17"/>
        <v>82131.717999999993</v>
      </c>
    </row>
    <row r="50" spans="2:21">
      <c r="C50" t="s">
        <v>929</v>
      </c>
      <c r="D50">
        <v>201090</v>
      </c>
      <c r="E50">
        <v>197201</v>
      </c>
      <c r="G50">
        <v>2018</v>
      </c>
      <c r="H50">
        <v>5</v>
      </c>
      <c r="J50" t="s">
        <v>30</v>
      </c>
      <c r="K50">
        <v>10</v>
      </c>
      <c r="L50">
        <f t="shared" si="9"/>
        <v>2028</v>
      </c>
      <c r="M50">
        <f t="shared" si="10"/>
        <v>2028.4166666666667</v>
      </c>
      <c r="N50">
        <v>-424</v>
      </c>
      <c r="O50">
        <f t="shared" si="15"/>
        <v>-424</v>
      </c>
      <c r="P50">
        <f t="shared" si="16"/>
        <v>-3.5333333333333332</v>
      </c>
      <c r="Q50">
        <f t="shared" si="11"/>
        <v>-42.4</v>
      </c>
      <c r="R50">
        <f t="shared" si="12"/>
        <v>-42.4</v>
      </c>
      <c r="S50">
        <f t="shared" si="13"/>
        <v>0</v>
      </c>
      <c r="T50">
        <f t="shared" si="14"/>
        <v>-42.4</v>
      </c>
      <c r="U50">
        <f t="shared" si="17"/>
        <v>-402.8</v>
      </c>
    </row>
    <row r="51" spans="2:21">
      <c r="C51" t="s">
        <v>928</v>
      </c>
      <c r="D51">
        <v>199116</v>
      </c>
      <c r="E51">
        <v>197201</v>
      </c>
      <c r="G51">
        <v>2018</v>
      </c>
      <c r="H51">
        <v>6</v>
      </c>
      <c r="J51" t="s">
        <v>30</v>
      </c>
      <c r="K51">
        <v>5</v>
      </c>
      <c r="L51">
        <f t="shared" si="9"/>
        <v>2023</v>
      </c>
      <c r="M51">
        <f t="shared" si="10"/>
        <v>2023.5</v>
      </c>
      <c r="N51">
        <v>1453.57</v>
      </c>
      <c r="O51">
        <f t="shared" si="15"/>
        <v>1453.57</v>
      </c>
      <c r="P51">
        <f t="shared" si="16"/>
        <v>24.226166666666668</v>
      </c>
      <c r="Q51">
        <f t="shared" si="11"/>
        <v>290.714</v>
      </c>
      <c r="R51">
        <f t="shared" si="12"/>
        <v>290.714</v>
      </c>
      <c r="S51">
        <f t="shared" si="13"/>
        <v>0</v>
      </c>
      <c r="T51">
        <f t="shared" si="14"/>
        <v>290.714</v>
      </c>
      <c r="U51">
        <f t="shared" si="17"/>
        <v>1308.213</v>
      </c>
    </row>
    <row r="53" spans="2:21">
      <c r="L53" t="s">
        <v>365</v>
      </c>
      <c r="N53">
        <f t="shared" ref="N53:U53" si="18">SUM(N40:N52)</f>
        <v>331084.53999999998</v>
      </c>
      <c r="O53">
        <f t="shared" si="18"/>
        <v>267339.77770000004</v>
      </c>
      <c r="P53">
        <f t="shared" si="18"/>
        <v>3531.5730283333337</v>
      </c>
      <c r="Q53">
        <f t="shared" si="18"/>
        <v>42378.876340000003</v>
      </c>
      <c r="R53">
        <f t="shared" si="18"/>
        <v>30851.642054285712</v>
      </c>
      <c r="S53">
        <f t="shared" si="18"/>
        <v>132790.62878857143</v>
      </c>
      <c r="T53">
        <f t="shared" si="18"/>
        <v>163642.27084285716</v>
      </c>
      <c r="U53">
        <f t="shared" si="18"/>
        <v>182868.09018428571</v>
      </c>
    </row>
    <row r="56" spans="2:21">
      <c r="B56" t="s">
        <v>366</v>
      </c>
    </row>
    <row r="57" spans="2:21">
      <c r="C57" t="s">
        <v>389</v>
      </c>
      <c r="D57">
        <v>73374</v>
      </c>
      <c r="G57">
        <v>2010</v>
      </c>
      <c r="H57">
        <v>3</v>
      </c>
      <c r="I57">
        <v>0</v>
      </c>
      <c r="J57" t="s">
        <v>30</v>
      </c>
      <c r="K57">
        <v>3</v>
      </c>
      <c r="L57">
        <f t="shared" ref="L57:L95" si="19">G57+K57</f>
        <v>2013</v>
      </c>
      <c r="M57">
        <f t="shared" ref="M57:M95" si="20">+L57+(H57/12)</f>
        <v>2013.25</v>
      </c>
      <c r="N57">
        <v>1558.9</v>
      </c>
      <c r="O57">
        <f t="shared" ref="O57:O95" si="21">N57-N57*I57</f>
        <v>1558.9</v>
      </c>
      <c r="P57">
        <f t="shared" ref="P57:P95" si="22">O57/K57/12</f>
        <v>43.302777777777777</v>
      </c>
      <c r="Q57">
        <f t="shared" ref="Q57:Q95" si="23">P57*12</f>
        <v>519.63333333333333</v>
      </c>
      <c r="R57">
        <f t="shared" ref="R57:R95" si="24">+IF(M57&lt;=$O$6,0,IF(L57&gt;$O$5,Q57,(P57*G57)))</f>
        <v>0</v>
      </c>
      <c r="S57">
        <f t="shared" ref="S57:S95" si="25">+IF(R57=0,N57,IF($O$5-G57&lt;1,0,(($O$5-G57)*Q57)))</f>
        <v>1558.9</v>
      </c>
      <c r="T57">
        <f t="shared" ref="T57:T95" si="26">+IF(R57=0,S57,S57+R57)</f>
        <v>1558.9</v>
      </c>
      <c r="U57">
        <f t="shared" ref="U57:U95" si="27">+IF(R57=0,0,((N57-S57)+(N57-T57))/2)</f>
        <v>0</v>
      </c>
    </row>
    <row r="58" spans="2:21">
      <c r="C58" t="s">
        <v>388</v>
      </c>
      <c r="D58">
        <v>72971</v>
      </c>
      <c r="G58">
        <v>2010</v>
      </c>
      <c r="H58">
        <v>3</v>
      </c>
      <c r="I58">
        <v>0</v>
      </c>
      <c r="J58" t="s">
        <v>30</v>
      </c>
      <c r="K58">
        <v>3</v>
      </c>
      <c r="L58">
        <f t="shared" si="19"/>
        <v>2013</v>
      </c>
      <c r="M58">
        <f t="shared" si="20"/>
        <v>2013.25</v>
      </c>
      <c r="N58">
        <v>20775</v>
      </c>
      <c r="O58">
        <f t="shared" si="21"/>
        <v>20775</v>
      </c>
      <c r="P58">
        <f t="shared" si="22"/>
        <v>577.08333333333337</v>
      </c>
      <c r="Q58">
        <f t="shared" si="23"/>
        <v>6925</v>
      </c>
      <c r="R58">
        <f t="shared" si="24"/>
        <v>0</v>
      </c>
      <c r="S58">
        <f t="shared" si="25"/>
        <v>20775</v>
      </c>
      <c r="T58">
        <f t="shared" si="26"/>
        <v>20775</v>
      </c>
      <c r="U58">
        <f t="shared" si="27"/>
        <v>0</v>
      </c>
    </row>
    <row r="59" spans="2:21">
      <c r="B59">
        <v>3</v>
      </c>
      <c r="C59" t="s">
        <v>387</v>
      </c>
      <c r="D59">
        <v>73815</v>
      </c>
      <c r="G59">
        <v>2010</v>
      </c>
      <c r="H59">
        <v>4</v>
      </c>
      <c r="I59">
        <v>0</v>
      </c>
      <c r="J59" t="s">
        <v>30</v>
      </c>
      <c r="K59">
        <v>3</v>
      </c>
      <c r="L59">
        <f t="shared" si="19"/>
        <v>2013</v>
      </c>
      <c r="M59">
        <f t="shared" si="20"/>
        <v>2013.3333333333333</v>
      </c>
      <c r="N59">
        <v>2625</v>
      </c>
      <c r="O59">
        <f t="shared" si="21"/>
        <v>2625</v>
      </c>
      <c r="P59">
        <f t="shared" si="22"/>
        <v>72.916666666666671</v>
      </c>
      <c r="Q59">
        <f t="shared" si="23"/>
        <v>875</v>
      </c>
      <c r="R59">
        <f t="shared" si="24"/>
        <v>0</v>
      </c>
      <c r="S59">
        <f t="shared" si="25"/>
        <v>2625</v>
      </c>
      <c r="T59">
        <f t="shared" si="26"/>
        <v>2625</v>
      </c>
      <c r="U59">
        <f t="shared" si="27"/>
        <v>0</v>
      </c>
    </row>
    <row r="60" spans="2:21">
      <c r="B60">
        <v>2</v>
      </c>
      <c r="C60" t="s">
        <v>386</v>
      </c>
      <c r="D60">
        <v>74451</v>
      </c>
      <c r="G60">
        <v>2010</v>
      </c>
      <c r="H60">
        <v>5</v>
      </c>
      <c r="I60">
        <v>0</v>
      </c>
      <c r="J60" t="s">
        <v>30</v>
      </c>
      <c r="K60">
        <v>3</v>
      </c>
      <c r="L60">
        <f t="shared" si="19"/>
        <v>2013</v>
      </c>
      <c r="M60">
        <f t="shared" si="20"/>
        <v>2013.4166666666667</v>
      </c>
      <c r="N60">
        <v>1574.93</v>
      </c>
      <c r="O60">
        <f t="shared" si="21"/>
        <v>1574.93</v>
      </c>
      <c r="P60">
        <f t="shared" si="22"/>
        <v>43.74805555555556</v>
      </c>
      <c r="Q60">
        <f t="shared" si="23"/>
        <v>524.97666666666669</v>
      </c>
      <c r="R60">
        <f t="shared" si="24"/>
        <v>0</v>
      </c>
      <c r="S60">
        <f t="shared" si="25"/>
        <v>1574.93</v>
      </c>
      <c r="T60">
        <f t="shared" si="26"/>
        <v>1574.93</v>
      </c>
      <c r="U60">
        <f t="shared" si="27"/>
        <v>0</v>
      </c>
    </row>
    <row r="61" spans="2:21">
      <c r="C61" t="s">
        <v>385</v>
      </c>
      <c r="D61">
        <v>76637</v>
      </c>
      <c r="G61">
        <v>2010</v>
      </c>
      <c r="H61">
        <v>8</v>
      </c>
      <c r="I61">
        <v>0</v>
      </c>
      <c r="J61" t="s">
        <v>30</v>
      </c>
      <c r="K61" t="s">
        <v>31</v>
      </c>
      <c r="L61">
        <f t="shared" si="19"/>
        <v>2015</v>
      </c>
      <c r="M61">
        <f t="shared" si="20"/>
        <v>2015.6666666666667</v>
      </c>
      <c r="N61">
        <v>2684.4</v>
      </c>
      <c r="O61">
        <f t="shared" si="21"/>
        <v>2684.4</v>
      </c>
      <c r="P61">
        <f t="shared" si="22"/>
        <v>44.74</v>
      </c>
      <c r="Q61">
        <f t="shared" si="23"/>
        <v>536.88</v>
      </c>
      <c r="R61">
        <f t="shared" si="24"/>
        <v>0</v>
      </c>
      <c r="S61">
        <f t="shared" si="25"/>
        <v>2684.4</v>
      </c>
      <c r="T61">
        <f t="shared" si="26"/>
        <v>2684.4</v>
      </c>
      <c r="U61">
        <f t="shared" si="27"/>
        <v>0</v>
      </c>
    </row>
    <row r="62" spans="2:21">
      <c r="C62" t="s">
        <v>528</v>
      </c>
      <c r="D62" t="s">
        <v>529</v>
      </c>
      <c r="E62">
        <v>80468</v>
      </c>
      <c r="G62">
        <v>2011</v>
      </c>
      <c r="H62">
        <v>3</v>
      </c>
      <c r="I62">
        <v>0</v>
      </c>
      <c r="J62" t="s">
        <v>30</v>
      </c>
      <c r="K62">
        <v>10</v>
      </c>
      <c r="L62">
        <f t="shared" si="19"/>
        <v>2021</v>
      </c>
      <c r="M62">
        <f t="shared" si="20"/>
        <v>2021.25</v>
      </c>
      <c r="N62">
        <f>188184.69+1695.95+1039.45+1695.95</f>
        <v>192616.04000000004</v>
      </c>
      <c r="O62">
        <f t="shared" si="21"/>
        <v>192616.04000000004</v>
      </c>
      <c r="P62">
        <f t="shared" si="22"/>
        <v>1605.1336666666668</v>
      </c>
      <c r="Q62">
        <f t="shared" si="23"/>
        <v>19261.604000000003</v>
      </c>
      <c r="R62">
        <f t="shared" si="24"/>
        <v>19261.604000000003</v>
      </c>
      <c r="S62">
        <f t="shared" si="25"/>
        <v>115569.62400000001</v>
      </c>
      <c r="T62">
        <f t="shared" si="26"/>
        <v>134831.228</v>
      </c>
      <c r="U62">
        <f t="shared" si="27"/>
        <v>67415.614000000031</v>
      </c>
    </row>
    <row r="63" spans="2:21">
      <c r="C63" t="s">
        <v>530</v>
      </c>
      <c r="D63" t="s">
        <v>531</v>
      </c>
      <c r="E63">
        <v>80461</v>
      </c>
      <c r="G63">
        <v>2011</v>
      </c>
      <c r="H63">
        <v>3</v>
      </c>
      <c r="I63">
        <v>0</v>
      </c>
      <c r="J63" t="s">
        <v>30</v>
      </c>
      <c r="K63">
        <v>5</v>
      </c>
      <c r="L63">
        <f t="shared" si="19"/>
        <v>2016</v>
      </c>
      <c r="M63">
        <f t="shared" si="20"/>
        <v>2016.25</v>
      </c>
      <c r="N63">
        <f>97999.12+3960.18</f>
        <v>101959.29999999999</v>
      </c>
      <c r="O63">
        <f t="shared" si="21"/>
        <v>101959.29999999999</v>
      </c>
      <c r="P63">
        <f t="shared" si="22"/>
        <v>1699.3216666666665</v>
      </c>
      <c r="Q63">
        <f t="shared" si="23"/>
        <v>20391.859999999997</v>
      </c>
      <c r="R63">
        <f t="shared" si="24"/>
        <v>0</v>
      </c>
      <c r="S63">
        <f t="shared" si="25"/>
        <v>101959.29999999999</v>
      </c>
      <c r="T63">
        <f t="shared" si="26"/>
        <v>101959.29999999999</v>
      </c>
      <c r="U63">
        <f t="shared" si="27"/>
        <v>0</v>
      </c>
    </row>
    <row r="64" spans="2:21">
      <c r="B64">
        <v>1</v>
      </c>
      <c r="C64" t="s">
        <v>601</v>
      </c>
      <c r="D64">
        <v>86524</v>
      </c>
      <c r="G64">
        <v>2011</v>
      </c>
      <c r="H64">
        <v>7</v>
      </c>
      <c r="I64">
        <v>0</v>
      </c>
      <c r="J64" t="s">
        <v>30</v>
      </c>
      <c r="K64">
        <v>3</v>
      </c>
      <c r="L64">
        <f t="shared" si="19"/>
        <v>2014</v>
      </c>
      <c r="M64">
        <f t="shared" si="20"/>
        <v>2014.5833333333333</v>
      </c>
      <c r="N64">
        <v>1006.03</v>
      </c>
      <c r="O64">
        <f t="shared" si="21"/>
        <v>1006.03</v>
      </c>
      <c r="P64">
        <f t="shared" si="22"/>
        <v>27.945277777777775</v>
      </c>
      <c r="Q64">
        <f t="shared" si="23"/>
        <v>335.34333333333331</v>
      </c>
      <c r="R64">
        <f t="shared" si="24"/>
        <v>0</v>
      </c>
      <c r="S64">
        <f t="shared" si="25"/>
        <v>1006.03</v>
      </c>
      <c r="T64">
        <f t="shared" si="26"/>
        <v>1006.03</v>
      </c>
      <c r="U64">
        <f t="shared" si="27"/>
        <v>0</v>
      </c>
    </row>
    <row r="65" spans="2:21">
      <c r="B65">
        <v>1</v>
      </c>
      <c r="C65" t="s">
        <v>602</v>
      </c>
      <c r="D65">
        <v>87203</v>
      </c>
      <c r="G65">
        <v>2011</v>
      </c>
      <c r="H65">
        <v>10</v>
      </c>
      <c r="I65">
        <v>0</v>
      </c>
      <c r="J65" t="s">
        <v>30</v>
      </c>
      <c r="K65">
        <v>3</v>
      </c>
      <c r="L65">
        <f t="shared" si="19"/>
        <v>2014</v>
      </c>
      <c r="M65">
        <f t="shared" si="20"/>
        <v>2014.8333333333333</v>
      </c>
      <c r="N65">
        <v>1549.26</v>
      </c>
      <c r="O65">
        <f t="shared" si="21"/>
        <v>1549.26</v>
      </c>
      <c r="P65">
        <f t="shared" si="22"/>
        <v>43.034999999999997</v>
      </c>
      <c r="Q65">
        <f t="shared" si="23"/>
        <v>516.41999999999996</v>
      </c>
      <c r="R65">
        <f t="shared" si="24"/>
        <v>0</v>
      </c>
      <c r="S65">
        <f t="shared" si="25"/>
        <v>1549.26</v>
      </c>
      <c r="T65">
        <f t="shared" si="26"/>
        <v>1549.26</v>
      </c>
      <c r="U65">
        <f t="shared" si="27"/>
        <v>0</v>
      </c>
    </row>
    <row r="66" spans="2:21">
      <c r="B66">
        <v>2</v>
      </c>
      <c r="C66" t="s">
        <v>387</v>
      </c>
      <c r="D66">
        <v>88248</v>
      </c>
      <c r="G66">
        <v>2011</v>
      </c>
      <c r="H66">
        <v>12</v>
      </c>
      <c r="I66">
        <v>0</v>
      </c>
      <c r="J66" t="s">
        <v>30</v>
      </c>
      <c r="K66">
        <v>3</v>
      </c>
      <c r="L66">
        <f t="shared" si="19"/>
        <v>2014</v>
      </c>
      <c r="M66">
        <f t="shared" si="20"/>
        <v>2015</v>
      </c>
      <c r="N66">
        <v>1750</v>
      </c>
      <c r="O66">
        <f t="shared" si="21"/>
        <v>1750</v>
      </c>
      <c r="P66">
        <f t="shared" si="22"/>
        <v>48.611111111111114</v>
      </c>
      <c r="Q66">
        <f t="shared" si="23"/>
        <v>583.33333333333337</v>
      </c>
      <c r="R66">
        <f t="shared" si="24"/>
        <v>0</v>
      </c>
      <c r="S66">
        <f t="shared" si="25"/>
        <v>1750</v>
      </c>
      <c r="T66">
        <f t="shared" si="26"/>
        <v>1750</v>
      </c>
      <c r="U66">
        <f t="shared" si="27"/>
        <v>0</v>
      </c>
    </row>
    <row r="67" spans="2:21">
      <c r="B67">
        <v>1</v>
      </c>
      <c r="C67" t="s">
        <v>626</v>
      </c>
      <c r="D67">
        <v>90464</v>
      </c>
      <c r="G67">
        <v>2012</v>
      </c>
      <c r="H67">
        <v>1</v>
      </c>
      <c r="I67">
        <v>0</v>
      </c>
      <c r="J67" t="s">
        <v>30</v>
      </c>
      <c r="K67">
        <v>5</v>
      </c>
      <c r="L67">
        <f t="shared" si="19"/>
        <v>2017</v>
      </c>
      <c r="M67">
        <f t="shared" si="20"/>
        <v>2017.0833333333333</v>
      </c>
      <c r="N67">
        <v>564.44000000000005</v>
      </c>
      <c r="O67">
        <f t="shared" si="21"/>
        <v>564.44000000000005</v>
      </c>
      <c r="P67">
        <f t="shared" si="22"/>
        <v>9.4073333333333338</v>
      </c>
      <c r="Q67">
        <f t="shared" si="23"/>
        <v>112.88800000000001</v>
      </c>
      <c r="R67">
        <f t="shared" si="24"/>
        <v>0</v>
      </c>
      <c r="S67">
        <f t="shared" si="25"/>
        <v>564.44000000000005</v>
      </c>
      <c r="T67">
        <f t="shared" si="26"/>
        <v>564.44000000000005</v>
      </c>
      <c r="U67">
        <f t="shared" si="27"/>
        <v>0</v>
      </c>
    </row>
    <row r="68" spans="2:21">
      <c r="B68">
        <v>1</v>
      </c>
      <c r="C68" t="s">
        <v>632</v>
      </c>
      <c r="D68">
        <v>93455</v>
      </c>
      <c r="G68">
        <v>2012</v>
      </c>
      <c r="H68">
        <v>4</v>
      </c>
      <c r="I68">
        <v>0</v>
      </c>
      <c r="J68" t="s">
        <v>30</v>
      </c>
      <c r="K68">
        <v>5</v>
      </c>
      <c r="L68">
        <f t="shared" si="19"/>
        <v>2017</v>
      </c>
      <c r="M68">
        <f t="shared" si="20"/>
        <v>2017.3333333333333</v>
      </c>
      <c r="N68">
        <v>743.32</v>
      </c>
      <c r="O68">
        <f t="shared" si="21"/>
        <v>743.32</v>
      </c>
      <c r="P68">
        <f t="shared" si="22"/>
        <v>12.388666666666667</v>
      </c>
      <c r="Q68">
        <f t="shared" si="23"/>
        <v>148.66400000000002</v>
      </c>
      <c r="R68">
        <f t="shared" si="24"/>
        <v>0</v>
      </c>
      <c r="S68">
        <f t="shared" si="25"/>
        <v>743.32</v>
      </c>
      <c r="T68">
        <f t="shared" si="26"/>
        <v>743.32</v>
      </c>
      <c r="U68">
        <f t="shared" si="27"/>
        <v>0</v>
      </c>
    </row>
    <row r="69" spans="2:21">
      <c r="C69" t="s">
        <v>668</v>
      </c>
      <c r="D69">
        <v>103617</v>
      </c>
      <c r="G69">
        <v>2013</v>
      </c>
      <c r="H69">
        <v>4</v>
      </c>
      <c r="I69">
        <v>0</v>
      </c>
      <c r="J69" t="s">
        <v>30</v>
      </c>
      <c r="K69">
        <v>3</v>
      </c>
      <c r="L69">
        <f t="shared" si="19"/>
        <v>2016</v>
      </c>
      <c r="M69">
        <f t="shared" si="20"/>
        <v>2016.3333333333333</v>
      </c>
      <c r="N69">
        <v>1019.36</v>
      </c>
      <c r="O69">
        <f t="shared" si="21"/>
        <v>1019.36</v>
      </c>
      <c r="P69">
        <f t="shared" si="22"/>
        <v>28.315555555555559</v>
      </c>
      <c r="Q69">
        <f t="shared" si="23"/>
        <v>339.78666666666669</v>
      </c>
      <c r="R69">
        <f t="shared" si="24"/>
        <v>0</v>
      </c>
      <c r="S69">
        <f t="shared" si="25"/>
        <v>1019.36</v>
      </c>
      <c r="T69">
        <f t="shared" si="26"/>
        <v>1019.36</v>
      </c>
      <c r="U69">
        <f t="shared" si="27"/>
        <v>0</v>
      </c>
    </row>
    <row r="70" spans="2:21">
      <c r="C70" t="s">
        <v>670</v>
      </c>
      <c r="D70">
        <v>105141</v>
      </c>
      <c r="G70">
        <v>2013</v>
      </c>
      <c r="H70">
        <v>6</v>
      </c>
      <c r="I70">
        <v>0</v>
      </c>
      <c r="J70" t="s">
        <v>30</v>
      </c>
      <c r="K70">
        <v>3</v>
      </c>
      <c r="L70">
        <f t="shared" si="19"/>
        <v>2016</v>
      </c>
      <c r="M70">
        <f t="shared" si="20"/>
        <v>2016.5</v>
      </c>
      <c r="N70">
        <v>1688.87</v>
      </c>
      <c r="O70">
        <f t="shared" si="21"/>
        <v>1688.87</v>
      </c>
      <c r="P70">
        <f t="shared" si="22"/>
        <v>46.913055555555552</v>
      </c>
      <c r="Q70">
        <f t="shared" si="23"/>
        <v>562.95666666666659</v>
      </c>
      <c r="R70">
        <f t="shared" si="24"/>
        <v>0</v>
      </c>
      <c r="S70">
        <f t="shared" si="25"/>
        <v>1688.87</v>
      </c>
      <c r="T70">
        <f t="shared" si="26"/>
        <v>1688.87</v>
      </c>
      <c r="U70">
        <f t="shared" si="27"/>
        <v>0</v>
      </c>
    </row>
    <row r="71" spans="2:21">
      <c r="C71" t="s">
        <v>680</v>
      </c>
      <c r="G71">
        <v>2013</v>
      </c>
      <c r="H71">
        <v>8</v>
      </c>
      <c r="I71">
        <v>0</v>
      </c>
      <c r="J71" t="s">
        <v>30</v>
      </c>
      <c r="K71">
        <v>5</v>
      </c>
      <c r="L71">
        <f t="shared" si="19"/>
        <v>2018</v>
      </c>
      <c r="M71">
        <f t="shared" si="20"/>
        <v>2018.6666666666667</v>
      </c>
      <c r="N71">
        <f>538492.81+47300.63</f>
        <v>585793.44000000006</v>
      </c>
      <c r="O71">
        <f t="shared" si="21"/>
        <v>585793.44000000006</v>
      </c>
      <c r="P71">
        <f t="shared" si="22"/>
        <v>9763.2240000000002</v>
      </c>
      <c r="Q71">
        <f t="shared" si="23"/>
        <v>117158.68799999999</v>
      </c>
      <c r="R71">
        <f t="shared" si="24"/>
        <v>117158.68799999999</v>
      </c>
      <c r="S71">
        <f t="shared" si="25"/>
        <v>468634.75199999998</v>
      </c>
      <c r="T71">
        <f t="shared" si="26"/>
        <v>585793.43999999994</v>
      </c>
      <c r="U71">
        <f t="shared" si="27"/>
        <v>58579.344000000099</v>
      </c>
    </row>
    <row r="72" spans="2:21">
      <c r="B72">
        <v>2</v>
      </c>
      <c r="C72" t="s">
        <v>387</v>
      </c>
      <c r="D72">
        <v>107737</v>
      </c>
      <c r="G72">
        <v>2013</v>
      </c>
      <c r="H72">
        <v>9</v>
      </c>
      <c r="I72">
        <v>0</v>
      </c>
      <c r="J72" t="s">
        <v>30</v>
      </c>
      <c r="K72">
        <v>3</v>
      </c>
      <c r="L72">
        <f t="shared" si="19"/>
        <v>2016</v>
      </c>
      <c r="M72">
        <f t="shared" si="20"/>
        <v>2016.75</v>
      </c>
      <c r="N72">
        <v>1904</v>
      </c>
      <c r="O72">
        <f t="shared" si="21"/>
        <v>1904</v>
      </c>
      <c r="P72">
        <f t="shared" si="22"/>
        <v>52.888888888888886</v>
      </c>
      <c r="Q72">
        <f t="shared" si="23"/>
        <v>634.66666666666663</v>
      </c>
      <c r="R72">
        <f t="shared" si="24"/>
        <v>0</v>
      </c>
      <c r="S72">
        <f t="shared" si="25"/>
        <v>1904</v>
      </c>
      <c r="T72">
        <f t="shared" si="26"/>
        <v>1904</v>
      </c>
      <c r="U72">
        <f t="shared" si="27"/>
        <v>0</v>
      </c>
    </row>
    <row r="73" spans="2:21">
      <c r="C73" t="s">
        <v>680</v>
      </c>
      <c r="D73" t="s">
        <v>688</v>
      </c>
      <c r="G73">
        <v>2013</v>
      </c>
      <c r="H73">
        <v>10</v>
      </c>
      <c r="I73">
        <v>0</v>
      </c>
      <c r="J73" t="s">
        <v>30</v>
      </c>
      <c r="K73">
        <v>5</v>
      </c>
      <c r="L73">
        <f t="shared" si="19"/>
        <v>2018</v>
      </c>
      <c r="M73">
        <f t="shared" si="20"/>
        <v>2018.8333333333333</v>
      </c>
      <c r="N73">
        <f>614.72+7131.39+503.75+35788.34</f>
        <v>44038.2</v>
      </c>
      <c r="O73">
        <f t="shared" si="21"/>
        <v>44038.2</v>
      </c>
      <c r="P73">
        <f t="shared" si="22"/>
        <v>733.96999999999991</v>
      </c>
      <c r="Q73">
        <f t="shared" si="23"/>
        <v>8807.64</v>
      </c>
      <c r="R73">
        <f t="shared" si="24"/>
        <v>8807.64</v>
      </c>
      <c r="S73">
        <f t="shared" si="25"/>
        <v>35230.559999999998</v>
      </c>
      <c r="T73">
        <f t="shared" si="26"/>
        <v>44038.2</v>
      </c>
      <c r="U73">
        <f t="shared" si="27"/>
        <v>4403.82</v>
      </c>
    </row>
    <row r="74" spans="2:21">
      <c r="B74">
        <v>5</v>
      </c>
      <c r="C74" t="s">
        <v>687</v>
      </c>
      <c r="D74">
        <v>107879</v>
      </c>
      <c r="G74">
        <v>2013</v>
      </c>
      <c r="H74">
        <v>10</v>
      </c>
      <c r="I74">
        <v>0</v>
      </c>
      <c r="J74" t="s">
        <v>30</v>
      </c>
      <c r="K74">
        <v>5</v>
      </c>
      <c r="L74">
        <f t="shared" si="19"/>
        <v>2018</v>
      </c>
      <c r="M74">
        <f t="shared" si="20"/>
        <v>2018.8333333333333</v>
      </c>
      <c r="N74">
        <v>5412.81</v>
      </c>
      <c r="O74">
        <f t="shared" si="21"/>
        <v>5412.81</v>
      </c>
      <c r="P74">
        <f t="shared" si="22"/>
        <v>90.21350000000001</v>
      </c>
      <c r="Q74">
        <f t="shared" si="23"/>
        <v>1082.5620000000001</v>
      </c>
      <c r="R74">
        <f t="shared" si="24"/>
        <v>1082.5620000000001</v>
      </c>
      <c r="S74">
        <f t="shared" si="25"/>
        <v>4330.2480000000005</v>
      </c>
      <c r="T74">
        <f t="shared" si="26"/>
        <v>5412.81</v>
      </c>
      <c r="U74">
        <f t="shared" si="27"/>
        <v>541.28099999999995</v>
      </c>
    </row>
    <row r="75" spans="2:21">
      <c r="C75" t="s">
        <v>694</v>
      </c>
      <c r="D75">
        <v>108970</v>
      </c>
      <c r="G75">
        <v>2013</v>
      </c>
      <c r="H75">
        <v>11</v>
      </c>
      <c r="I75">
        <v>0</v>
      </c>
      <c r="J75" t="s">
        <v>30</v>
      </c>
      <c r="K75">
        <v>3</v>
      </c>
      <c r="L75">
        <f t="shared" si="19"/>
        <v>2016</v>
      </c>
      <c r="M75">
        <f t="shared" si="20"/>
        <v>2016.9166666666667</v>
      </c>
      <c r="N75">
        <v>1504.24</v>
      </c>
      <c r="O75">
        <f t="shared" si="21"/>
        <v>1504.24</v>
      </c>
      <c r="P75">
        <f t="shared" si="22"/>
        <v>41.784444444444446</v>
      </c>
      <c r="Q75">
        <f t="shared" si="23"/>
        <v>501.41333333333336</v>
      </c>
      <c r="R75">
        <f t="shared" si="24"/>
        <v>0</v>
      </c>
      <c r="S75">
        <f t="shared" si="25"/>
        <v>1504.24</v>
      </c>
      <c r="T75">
        <f t="shared" si="26"/>
        <v>1504.24</v>
      </c>
      <c r="U75">
        <f t="shared" si="27"/>
        <v>0</v>
      </c>
    </row>
    <row r="76" spans="2:21">
      <c r="C76" t="s">
        <v>702</v>
      </c>
      <c r="D76">
        <v>111095</v>
      </c>
      <c r="G76">
        <v>2014</v>
      </c>
      <c r="H76">
        <v>2</v>
      </c>
      <c r="I76">
        <v>0</v>
      </c>
      <c r="J76" t="s">
        <v>30</v>
      </c>
      <c r="K76">
        <v>3</v>
      </c>
      <c r="L76">
        <f t="shared" si="19"/>
        <v>2017</v>
      </c>
      <c r="M76">
        <f t="shared" si="20"/>
        <v>2017.1666666666667</v>
      </c>
      <c r="N76">
        <v>1069.8599999999999</v>
      </c>
      <c r="O76">
        <f t="shared" si="21"/>
        <v>1069.8599999999999</v>
      </c>
      <c r="P76">
        <f t="shared" si="22"/>
        <v>29.71833333333333</v>
      </c>
      <c r="Q76">
        <f t="shared" si="23"/>
        <v>356.61999999999995</v>
      </c>
      <c r="R76">
        <f t="shared" si="24"/>
        <v>0</v>
      </c>
      <c r="S76">
        <f t="shared" si="25"/>
        <v>1069.8599999999999</v>
      </c>
      <c r="T76">
        <f t="shared" si="26"/>
        <v>1069.8599999999999</v>
      </c>
      <c r="U76">
        <f t="shared" si="27"/>
        <v>0</v>
      </c>
    </row>
    <row r="77" spans="2:21">
      <c r="C77" t="s">
        <v>702</v>
      </c>
      <c r="D77">
        <v>112600</v>
      </c>
      <c r="G77">
        <v>2014</v>
      </c>
      <c r="H77">
        <v>3</v>
      </c>
      <c r="I77">
        <v>0</v>
      </c>
      <c r="J77" t="s">
        <v>30</v>
      </c>
      <c r="K77">
        <v>3</v>
      </c>
      <c r="L77">
        <f t="shared" si="19"/>
        <v>2017</v>
      </c>
      <c r="M77">
        <f t="shared" si="20"/>
        <v>2017.25</v>
      </c>
      <c r="N77">
        <v>1017.56</v>
      </c>
      <c r="O77">
        <f t="shared" si="21"/>
        <v>1017.56</v>
      </c>
      <c r="P77">
        <f t="shared" si="22"/>
        <v>28.265555555555554</v>
      </c>
      <c r="Q77">
        <f t="shared" si="23"/>
        <v>339.18666666666667</v>
      </c>
      <c r="R77">
        <f t="shared" si="24"/>
        <v>0</v>
      </c>
      <c r="S77">
        <f t="shared" si="25"/>
        <v>1017.56</v>
      </c>
      <c r="T77">
        <f t="shared" si="26"/>
        <v>1017.56</v>
      </c>
      <c r="U77">
        <f t="shared" si="27"/>
        <v>0</v>
      </c>
    </row>
    <row r="78" spans="2:21">
      <c r="B78">
        <v>5</v>
      </c>
      <c r="C78" t="s">
        <v>708</v>
      </c>
      <c r="D78">
        <v>113271</v>
      </c>
      <c r="G78">
        <v>2014</v>
      </c>
      <c r="H78">
        <v>4</v>
      </c>
      <c r="I78">
        <v>0</v>
      </c>
      <c r="J78" t="s">
        <v>30</v>
      </c>
      <c r="K78">
        <v>3</v>
      </c>
      <c r="L78">
        <f t="shared" si="19"/>
        <v>2017</v>
      </c>
      <c r="M78">
        <f t="shared" si="20"/>
        <v>2017.3333333333333</v>
      </c>
      <c r="N78">
        <v>1641.48</v>
      </c>
      <c r="O78">
        <f t="shared" si="21"/>
        <v>1641.48</v>
      </c>
      <c r="P78">
        <f t="shared" si="22"/>
        <v>45.596666666666664</v>
      </c>
      <c r="Q78">
        <f t="shared" si="23"/>
        <v>547.16</v>
      </c>
      <c r="R78">
        <f t="shared" si="24"/>
        <v>0</v>
      </c>
      <c r="S78">
        <f t="shared" si="25"/>
        <v>1641.48</v>
      </c>
      <c r="T78">
        <f t="shared" si="26"/>
        <v>1641.48</v>
      </c>
      <c r="U78">
        <f t="shared" si="27"/>
        <v>0</v>
      </c>
    </row>
    <row r="79" spans="2:21">
      <c r="B79">
        <v>30</v>
      </c>
      <c r="C79" t="s">
        <v>753</v>
      </c>
      <c r="D79">
        <v>120653</v>
      </c>
      <c r="G79">
        <v>2015</v>
      </c>
      <c r="H79">
        <v>2</v>
      </c>
      <c r="I79">
        <v>0</v>
      </c>
      <c r="J79" t="s">
        <v>30</v>
      </c>
      <c r="K79">
        <v>3</v>
      </c>
      <c r="L79">
        <f t="shared" si="19"/>
        <v>2018</v>
      </c>
      <c r="M79">
        <f t="shared" si="20"/>
        <v>2018.1666666666667</v>
      </c>
      <c r="N79">
        <v>9908.6299999999992</v>
      </c>
      <c r="O79">
        <f t="shared" si="21"/>
        <v>9908.6299999999992</v>
      </c>
      <c r="P79">
        <f t="shared" si="22"/>
        <v>275.23972222222221</v>
      </c>
      <c r="Q79">
        <f t="shared" si="23"/>
        <v>3302.8766666666666</v>
      </c>
      <c r="R79">
        <f t="shared" si="24"/>
        <v>3302.8766666666666</v>
      </c>
      <c r="S79">
        <f t="shared" si="25"/>
        <v>6605.7533333333331</v>
      </c>
      <c r="T79">
        <f t="shared" si="26"/>
        <v>9908.6299999999992</v>
      </c>
      <c r="U79">
        <f t="shared" si="27"/>
        <v>1651.438333333333</v>
      </c>
    </row>
    <row r="80" spans="2:21">
      <c r="B80">
        <v>6</v>
      </c>
      <c r="C80" t="s">
        <v>754</v>
      </c>
      <c r="D80">
        <v>120654</v>
      </c>
      <c r="G80">
        <v>2015</v>
      </c>
      <c r="H80">
        <v>2</v>
      </c>
      <c r="I80">
        <v>0</v>
      </c>
      <c r="J80" t="s">
        <v>30</v>
      </c>
      <c r="K80">
        <v>3</v>
      </c>
      <c r="L80">
        <f t="shared" si="19"/>
        <v>2018</v>
      </c>
      <c r="M80">
        <f t="shared" si="20"/>
        <v>2018.1666666666667</v>
      </c>
      <c r="N80">
        <v>4387.54</v>
      </c>
      <c r="O80">
        <f t="shared" si="21"/>
        <v>4387.54</v>
      </c>
      <c r="P80">
        <f t="shared" si="22"/>
        <v>121.87611111111111</v>
      </c>
      <c r="Q80">
        <f t="shared" si="23"/>
        <v>1462.5133333333333</v>
      </c>
      <c r="R80">
        <f t="shared" si="24"/>
        <v>1462.5133333333333</v>
      </c>
      <c r="S80">
        <f t="shared" si="25"/>
        <v>2925.0266666666666</v>
      </c>
      <c r="T80">
        <f t="shared" si="26"/>
        <v>4387.54</v>
      </c>
      <c r="U80">
        <f t="shared" si="27"/>
        <v>731.25666666666666</v>
      </c>
    </row>
    <row r="81" spans="2:21">
      <c r="B81">
        <v>1</v>
      </c>
      <c r="C81" t="s">
        <v>757</v>
      </c>
      <c r="D81">
        <v>122828</v>
      </c>
      <c r="G81">
        <v>2015</v>
      </c>
      <c r="H81">
        <v>5</v>
      </c>
      <c r="I81">
        <v>0</v>
      </c>
      <c r="J81" t="s">
        <v>30</v>
      </c>
      <c r="K81">
        <v>3</v>
      </c>
      <c r="L81">
        <f t="shared" si="19"/>
        <v>2018</v>
      </c>
      <c r="M81">
        <f t="shared" si="20"/>
        <v>2018.4166666666667</v>
      </c>
      <c r="N81">
        <v>1096.6600000000001</v>
      </c>
      <c r="O81">
        <f t="shared" si="21"/>
        <v>1096.6600000000001</v>
      </c>
      <c r="P81">
        <f t="shared" si="22"/>
        <v>30.462777777777777</v>
      </c>
      <c r="Q81">
        <f t="shared" si="23"/>
        <v>365.55333333333334</v>
      </c>
      <c r="R81">
        <f t="shared" si="24"/>
        <v>365.55333333333334</v>
      </c>
      <c r="S81">
        <f t="shared" si="25"/>
        <v>731.10666666666668</v>
      </c>
      <c r="T81">
        <f t="shared" si="26"/>
        <v>1096.6600000000001</v>
      </c>
      <c r="U81">
        <f t="shared" si="27"/>
        <v>182.7766666666667</v>
      </c>
    </row>
    <row r="82" spans="2:21">
      <c r="B82">
        <v>1</v>
      </c>
      <c r="C82" t="s">
        <v>758</v>
      </c>
      <c r="D82">
        <v>122829</v>
      </c>
      <c r="G82">
        <v>2015</v>
      </c>
      <c r="H82">
        <v>5</v>
      </c>
      <c r="I82">
        <v>0</v>
      </c>
      <c r="J82" t="s">
        <v>30</v>
      </c>
      <c r="K82">
        <v>3</v>
      </c>
      <c r="L82">
        <f t="shared" si="19"/>
        <v>2018</v>
      </c>
      <c r="M82">
        <f t="shared" si="20"/>
        <v>2018.4166666666667</v>
      </c>
      <c r="N82">
        <v>1084.92</v>
      </c>
      <c r="O82">
        <f t="shared" si="21"/>
        <v>1084.92</v>
      </c>
      <c r="P82">
        <f t="shared" si="22"/>
        <v>30.13666666666667</v>
      </c>
      <c r="Q82">
        <f t="shared" si="23"/>
        <v>361.64000000000004</v>
      </c>
      <c r="R82">
        <f t="shared" si="24"/>
        <v>361.64000000000004</v>
      </c>
      <c r="S82">
        <f t="shared" si="25"/>
        <v>723.28000000000009</v>
      </c>
      <c r="T82">
        <f t="shared" si="26"/>
        <v>1084.92</v>
      </c>
      <c r="U82">
        <f t="shared" si="27"/>
        <v>180.82</v>
      </c>
    </row>
    <row r="83" spans="2:21">
      <c r="B83">
        <v>1</v>
      </c>
      <c r="C83" t="s">
        <v>754</v>
      </c>
      <c r="D83">
        <v>122830</v>
      </c>
      <c r="G83">
        <v>2015</v>
      </c>
      <c r="H83">
        <v>5</v>
      </c>
      <c r="I83">
        <v>0</v>
      </c>
      <c r="J83" t="s">
        <v>30</v>
      </c>
      <c r="K83">
        <v>3</v>
      </c>
      <c r="L83">
        <f t="shared" si="19"/>
        <v>2018</v>
      </c>
      <c r="M83">
        <f t="shared" si="20"/>
        <v>2018.4166666666667</v>
      </c>
      <c r="N83">
        <v>716.06</v>
      </c>
      <c r="O83">
        <f t="shared" si="21"/>
        <v>716.06</v>
      </c>
      <c r="P83">
        <f t="shared" si="22"/>
        <v>19.890555555555554</v>
      </c>
      <c r="Q83">
        <f t="shared" si="23"/>
        <v>238.68666666666667</v>
      </c>
      <c r="R83">
        <f t="shared" si="24"/>
        <v>238.68666666666667</v>
      </c>
      <c r="S83">
        <f t="shared" si="25"/>
        <v>477.37333333333333</v>
      </c>
      <c r="T83">
        <f t="shared" si="26"/>
        <v>716.06</v>
      </c>
      <c r="U83">
        <f t="shared" si="27"/>
        <v>119.34333333333331</v>
      </c>
    </row>
    <row r="84" spans="2:21">
      <c r="B84">
        <v>1</v>
      </c>
      <c r="C84" t="s">
        <v>757</v>
      </c>
      <c r="D84">
        <v>124285</v>
      </c>
      <c r="G84">
        <v>2015</v>
      </c>
      <c r="H84">
        <v>7</v>
      </c>
      <c r="I84">
        <v>0</v>
      </c>
      <c r="J84" t="s">
        <v>30</v>
      </c>
      <c r="K84">
        <v>3</v>
      </c>
      <c r="L84">
        <f t="shared" si="19"/>
        <v>2018</v>
      </c>
      <c r="M84">
        <f t="shared" si="20"/>
        <v>2018.5833333333333</v>
      </c>
      <c r="N84">
        <v>1034.5999999999999</v>
      </c>
      <c r="O84">
        <f t="shared" si="21"/>
        <v>1034.5999999999999</v>
      </c>
      <c r="P84">
        <f t="shared" si="22"/>
        <v>28.738888888888884</v>
      </c>
      <c r="Q84">
        <f t="shared" si="23"/>
        <v>344.86666666666662</v>
      </c>
      <c r="R84">
        <f t="shared" si="24"/>
        <v>344.86666666666662</v>
      </c>
      <c r="S84">
        <f t="shared" si="25"/>
        <v>689.73333333333323</v>
      </c>
      <c r="T84">
        <f t="shared" si="26"/>
        <v>1034.5999999999999</v>
      </c>
      <c r="U84">
        <f t="shared" si="27"/>
        <v>172.43333333333334</v>
      </c>
    </row>
    <row r="85" spans="2:21">
      <c r="B85">
        <v>1</v>
      </c>
      <c r="C85" t="s">
        <v>810</v>
      </c>
      <c r="D85">
        <v>128908</v>
      </c>
      <c r="G85">
        <v>2015</v>
      </c>
      <c r="H85">
        <v>12</v>
      </c>
      <c r="I85">
        <v>0</v>
      </c>
      <c r="J85" t="s">
        <v>30</v>
      </c>
      <c r="K85">
        <v>3</v>
      </c>
      <c r="L85">
        <f t="shared" si="19"/>
        <v>2018</v>
      </c>
      <c r="M85">
        <f t="shared" si="20"/>
        <v>2019</v>
      </c>
      <c r="N85">
        <v>1087.92</v>
      </c>
      <c r="O85">
        <f t="shared" si="21"/>
        <v>1087.92</v>
      </c>
      <c r="P85">
        <f t="shared" si="22"/>
        <v>30.220000000000002</v>
      </c>
      <c r="Q85">
        <f t="shared" si="23"/>
        <v>362.64000000000004</v>
      </c>
      <c r="R85">
        <f t="shared" si="24"/>
        <v>362.64000000000004</v>
      </c>
      <c r="S85">
        <f t="shared" si="25"/>
        <v>725.28000000000009</v>
      </c>
      <c r="T85">
        <f t="shared" si="26"/>
        <v>1087.92</v>
      </c>
      <c r="U85">
        <f t="shared" si="27"/>
        <v>181.32</v>
      </c>
    </row>
    <row r="86" spans="2:21">
      <c r="C86" t="s">
        <v>810</v>
      </c>
      <c r="D86">
        <v>128909</v>
      </c>
      <c r="G86">
        <v>2015</v>
      </c>
      <c r="H86">
        <v>12</v>
      </c>
      <c r="I86">
        <v>0</v>
      </c>
      <c r="J86" t="s">
        <v>30</v>
      </c>
      <c r="K86">
        <v>3</v>
      </c>
      <c r="L86">
        <f t="shared" si="19"/>
        <v>2018</v>
      </c>
      <c r="M86">
        <f t="shared" si="20"/>
        <v>2019</v>
      </c>
      <c r="N86">
        <v>1087.92</v>
      </c>
      <c r="O86">
        <f t="shared" si="21"/>
        <v>1087.92</v>
      </c>
      <c r="P86">
        <f t="shared" si="22"/>
        <v>30.220000000000002</v>
      </c>
      <c r="Q86">
        <f t="shared" si="23"/>
        <v>362.64000000000004</v>
      </c>
      <c r="R86">
        <f t="shared" si="24"/>
        <v>362.64000000000004</v>
      </c>
      <c r="S86">
        <f t="shared" si="25"/>
        <v>725.28000000000009</v>
      </c>
      <c r="T86">
        <f t="shared" si="26"/>
        <v>1087.92</v>
      </c>
      <c r="U86">
        <f t="shared" si="27"/>
        <v>181.32</v>
      </c>
    </row>
    <row r="87" spans="2:21">
      <c r="C87" t="s">
        <v>824</v>
      </c>
      <c r="D87">
        <v>131296</v>
      </c>
      <c r="G87">
        <v>2016</v>
      </c>
      <c r="H87">
        <v>3</v>
      </c>
      <c r="I87">
        <v>0</v>
      </c>
      <c r="J87" t="s">
        <v>30</v>
      </c>
      <c r="K87">
        <v>3</v>
      </c>
      <c r="L87">
        <f t="shared" si="19"/>
        <v>2019</v>
      </c>
      <c r="M87">
        <f t="shared" si="20"/>
        <v>2019.25</v>
      </c>
      <c r="N87">
        <v>980.25</v>
      </c>
      <c r="O87">
        <f t="shared" si="21"/>
        <v>980.25</v>
      </c>
      <c r="P87">
        <f t="shared" si="22"/>
        <v>27.229166666666668</v>
      </c>
      <c r="Q87">
        <f t="shared" si="23"/>
        <v>326.75</v>
      </c>
      <c r="R87">
        <f t="shared" si="24"/>
        <v>326.75</v>
      </c>
      <c r="S87">
        <f t="shared" si="25"/>
        <v>326.75</v>
      </c>
      <c r="T87">
        <f t="shared" si="26"/>
        <v>653.5</v>
      </c>
      <c r="U87">
        <f t="shared" si="27"/>
        <v>490.125</v>
      </c>
    </row>
    <row r="88" spans="2:21">
      <c r="C88" t="s">
        <v>825</v>
      </c>
      <c r="D88">
        <v>131546</v>
      </c>
      <c r="G88">
        <v>2016</v>
      </c>
      <c r="H88">
        <v>3</v>
      </c>
      <c r="I88">
        <v>0</v>
      </c>
      <c r="J88" t="s">
        <v>30</v>
      </c>
      <c r="K88">
        <v>3</v>
      </c>
      <c r="L88">
        <f t="shared" si="19"/>
        <v>2019</v>
      </c>
      <c r="M88">
        <f t="shared" si="20"/>
        <v>2019.25</v>
      </c>
      <c r="N88">
        <v>155.91</v>
      </c>
      <c r="O88">
        <f t="shared" si="21"/>
        <v>155.91</v>
      </c>
      <c r="P88">
        <f t="shared" si="22"/>
        <v>4.3308333333333335</v>
      </c>
      <c r="Q88">
        <f t="shared" si="23"/>
        <v>51.97</v>
      </c>
      <c r="R88">
        <f t="shared" si="24"/>
        <v>51.97</v>
      </c>
      <c r="S88">
        <f t="shared" si="25"/>
        <v>51.97</v>
      </c>
      <c r="T88">
        <f t="shared" si="26"/>
        <v>103.94</v>
      </c>
      <c r="U88">
        <f t="shared" si="27"/>
        <v>77.954999999999998</v>
      </c>
    </row>
    <row r="89" spans="2:21">
      <c r="C89" t="s">
        <v>839</v>
      </c>
      <c r="D89">
        <v>169369</v>
      </c>
      <c r="G89">
        <v>2016</v>
      </c>
      <c r="H89">
        <v>10</v>
      </c>
      <c r="I89">
        <v>0</v>
      </c>
      <c r="J89" t="s">
        <v>30</v>
      </c>
      <c r="K89">
        <v>2</v>
      </c>
      <c r="L89">
        <f t="shared" si="19"/>
        <v>2018</v>
      </c>
      <c r="M89">
        <f t="shared" si="20"/>
        <v>2018.8333333333333</v>
      </c>
      <c r="N89">
        <v>1311.95</v>
      </c>
      <c r="O89">
        <f t="shared" si="21"/>
        <v>1311.95</v>
      </c>
      <c r="P89">
        <f t="shared" si="22"/>
        <v>54.664583333333333</v>
      </c>
      <c r="Q89">
        <f t="shared" si="23"/>
        <v>655.97500000000002</v>
      </c>
      <c r="R89">
        <f t="shared" si="24"/>
        <v>655.97500000000002</v>
      </c>
      <c r="S89">
        <f t="shared" si="25"/>
        <v>655.97500000000002</v>
      </c>
      <c r="T89">
        <f t="shared" si="26"/>
        <v>1311.95</v>
      </c>
      <c r="U89">
        <f t="shared" si="27"/>
        <v>327.98750000000001</v>
      </c>
    </row>
    <row r="90" spans="2:21">
      <c r="C90" t="s">
        <v>840</v>
      </c>
      <c r="D90">
        <v>170306</v>
      </c>
      <c r="G90">
        <v>2016</v>
      </c>
      <c r="H90">
        <v>10</v>
      </c>
      <c r="I90">
        <v>0</v>
      </c>
      <c r="J90" t="s">
        <v>30</v>
      </c>
      <c r="K90">
        <v>2</v>
      </c>
      <c r="L90">
        <f t="shared" si="19"/>
        <v>2018</v>
      </c>
      <c r="M90">
        <f t="shared" si="20"/>
        <v>2018.8333333333333</v>
      </c>
      <c r="N90">
        <v>123.9</v>
      </c>
      <c r="O90">
        <f t="shared" si="21"/>
        <v>123.9</v>
      </c>
      <c r="P90">
        <f t="shared" si="22"/>
        <v>5.1625000000000005</v>
      </c>
      <c r="Q90">
        <f t="shared" si="23"/>
        <v>61.95</v>
      </c>
      <c r="R90">
        <f t="shared" si="24"/>
        <v>61.95</v>
      </c>
      <c r="S90">
        <f t="shared" si="25"/>
        <v>61.95</v>
      </c>
      <c r="T90">
        <f t="shared" si="26"/>
        <v>123.9</v>
      </c>
      <c r="U90">
        <f t="shared" si="27"/>
        <v>30.975000000000001</v>
      </c>
    </row>
    <row r="91" spans="2:21">
      <c r="C91" t="s">
        <v>858</v>
      </c>
      <c r="D91">
        <v>179239</v>
      </c>
      <c r="G91">
        <v>2017</v>
      </c>
      <c r="H91">
        <v>3</v>
      </c>
      <c r="I91">
        <v>0</v>
      </c>
      <c r="J91" t="s">
        <v>30</v>
      </c>
      <c r="K91">
        <v>3</v>
      </c>
      <c r="L91">
        <f t="shared" si="19"/>
        <v>2020</v>
      </c>
      <c r="M91">
        <f t="shared" si="20"/>
        <v>2020.25</v>
      </c>
      <c r="N91">
        <v>1241.69</v>
      </c>
      <c r="O91">
        <f t="shared" si="21"/>
        <v>1241.69</v>
      </c>
      <c r="P91">
        <f t="shared" si="22"/>
        <v>34.491388888888892</v>
      </c>
      <c r="Q91">
        <f t="shared" si="23"/>
        <v>413.8966666666667</v>
      </c>
      <c r="R91">
        <f t="shared" si="24"/>
        <v>413.8966666666667</v>
      </c>
      <c r="S91">
        <f t="shared" si="25"/>
        <v>0</v>
      </c>
      <c r="T91">
        <f t="shared" si="26"/>
        <v>413.8966666666667</v>
      </c>
      <c r="U91">
        <f t="shared" si="27"/>
        <v>1034.7416666666668</v>
      </c>
    </row>
    <row r="92" spans="2:21">
      <c r="C92" t="s">
        <v>859</v>
      </c>
      <c r="D92">
        <v>179238</v>
      </c>
      <c r="G92">
        <v>2017</v>
      </c>
      <c r="H92">
        <v>3</v>
      </c>
      <c r="I92">
        <v>0</v>
      </c>
      <c r="J92" t="s">
        <v>30</v>
      </c>
      <c r="K92">
        <v>3</v>
      </c>
      <c r="L92">
        <f t="shared" si="19"/>
        <v>2020</v>
      </c>
      <c r="M92">
        <f t="shared" si="20"/>
        <v>2020.25</v>
      </c>
      <c r="N92">
        <v>174.34</v>
      </c>
      <c r="O92">
        <f t="shared" si="21"/>
        <v>174.34</v>
      </c>
      <c r="P92">
        <f t="shared" si="22"/>
        <v>4.8427777777777781</v>
      </c>
      <c r="Q92">
        <f t="shared" si="23"/>
        <v>58.113333333333337</v>
      </c>
      <c r="R92">
        <f t="shared" si="24"/>
        <v>58.113333333333337</v>
      </c>
      <c r="S92">
        <f t="shared" si="25"/>
        <v>0</v>
      </c>
      <c r="T92">
        <f t="shared" si="26"/>
        <v>58.113333333333337</v>
      </c>
      <c r="U92">
        <f t="shared" si="27"/>
        <v>145.28333333333333</v>
      </c>
    </row>
    <row r="93" spans="2:21">
      <c r="C93" t="s">
        <v>848</v>
      </c>
      <c r="D93">
        <v>179237</v>
      </c>
      <c r="G93">
        <v>2017</v>
      </c>
      <c r="H93">
        <v>3</v>
      </c>
      <c r="I93">
        <v>0</v>
      </c>
      <c r="J93" t="s">
        <v>30</v>
      </c>
      <c r="K93">
        <v>3</v>
      </c>
      <c r="L93">
        <f t="shared" si="19"/>
        <v>2020</v>
      </c>
      <c r="M93">
        <f t="shared" si="20"/>
        <v>2020.25</v>
      </c>
      <c r="N93">
        <v>1021.58</v>
      </c>
      <c r="O93">
        <f t="shared" si="21"/>
        <v>1021.58</v>
      </c>
      <c r="P93">
        <f t="shared" si="22"/>
        <v>28.377222222222226</v>
      </c>
      <c r="Q93">
        <f t="shared" si="23"/>
        <v>340.5266666666667</v>
      </c>
      <c r="R93">
        <f t="shared" si="24"/>
        <v>340.5266666666667</v>
      </c>
      <c r="S93">
        <f t="shared" si="25"/>
        <v>0</v>
      </c>
      <c r="T93">
        <f t="shared" si="26"/>
        <v>340.5266666666667</v>
      </c>
      <c r="U93">
        <f t="shared" si="27"/>
        <v>851.31666666666661</v>
      </c>
    </row>
    <row r="94" spans="2:21">
      <c r="D94">
        <v>197532</v>
      </c>
      <c r="G94">
        <v>2018</v>
      </c>
      <c r="H94">
        <v>5</v>
      </c>
      <c r="I94">
        <v>0</v>
      </c>
      <c r="J94" t="s">
        <v>30</v>
      </c>
      <c r="K94">
        <v>3</v>
      </c>
      <c r="L94">
        <f t="shared" si="19"/>
        <v>2021</v>
      </c>
      <c r="M94">
        <f t="shared" si="20"/>
        <v>2021.4166666666667</v>
      </c>
      <c r="N94">
        <v>1334.12</v>
      </c>
      <c r="O94">
        <f t="shared" si="21"/>
        <v>1334.12</v>
      </c>
      <c r="P94">
        <f t="shared" si="22"/>
        <v>37.058888888888887</v>
      </c>
      <c r="Q94">
        <f t="shared" si="23"/>
        <v>444.70666666666665</v>
      </c>
      <c r="R94">
        <f t="shared" si="24"/>
        <v>444.70666666666665</v>
      </c>
      <c r="S94">
        <f t="shared" si="25"/>
        <v>0</v>
      </c>
      <c r="T94">
        <f t="shared" si="26"/>
        <v>444.70666666666665</v>
      </c>
      <c r="U94">
        <f t="shared" si="27"/>
        <v>1111.7666666666664</v>
      </c>
    </row>
    <row r="95" spans="2:21" ht="12" customHeight="1">
      <c r="D95">
        <v>201179</v>
      </c>
      <c r="G95">
        <v>2018</v>
      </c>
      <c r="H95">
        <v>7</v>
      </c>
      <c r="I95">
        <v>0</v>
      </c>
      <c r="J95" t="s">
        <v>30</v>
      </c>
      <c r="K95">
        <v>3</v>
      </c>
      <c r="L95">
        <f t="shared" si="19"/>
        <v>2021</v>
      </c>
      <c r="M95">
        <f t="shared" si="20"/>
        <v>2021.5833333333333</v>
      </c>
      <c r="N95">
        <v>197.45</v>
      </c>
      <c r="O95">
        <f t="shared" si="21"/>
        <v>197.45</v>
      </c>
      <c r="P95">
        <f t="shared" si="22"/>
        <v>5.4847222222222216</v>
      </c>
      <c r="Q95">
        <f t="shared" si="23"/>
        <v>65.816666666666663</v>
      </c>
      <c r="R95">
        <f t="shared" si="24"/>
        <v>65.816666666666663</v>
      </c>
      <c r="S95">
        <f t="shared" si="25"/>
        <v>0</v>
      </c>
      <c r="T95">
        <f t="shared" si="26"/>
        <v>65.816666666666663</v>
      </c>
      <c r="U95">
        <f t="shared" si="27"/>
        <v>164.54166666666666</v>
      </c>
    </row>
    <row r="97" spans="1:21">
      <c r="L97" t="s">
        <v>367</v>
      </c>
      <c r="N97">
        <f t="shared" ref="N97:U97" si="28">SUM(N57:N96)</f>
        <v>1001441.8800000002</v>
      </c>
      <c r="O97">
        <f t="shared" si="28"/>
        <v>1001441.8800000002</v>
      </c>
      <c r="P97">
        <f t="shared" si="28"/>
        <v>15856.95036111111</v>
      </c>
      <c r="Q97">
        <f t="shared" si="28"/>
        <v>190283.40433333343</v>
      </c>
      <c r="R97">
        <f t="shared" si="28"/>
        <v>155531.61566666677</v>
      </c>
      <c r="S97">
        <f t="shared" si="28"/>
        <v>785100.61233333324</v>
      </c>
      <c r="T97">
        <f t="shared" si="28"/>
        <v>940632.228</v>
      </c>
      <c r="U97">
        <f t="shared" si="28"/>
        <v>138575.45983333344</v>
      </c>
    </row>
    <row r="99" spans="1:21">
      <c r="B99" t="s">
        <v>583</v>
      </c>
    </row>
    <row r="101" spans="1:21">
      <c r="A101" t="s">
        <v>178</v>
      </c>
      <c r="C101" t="s">
        <v>582</v>
      </c>
      <c r="G101">
        <v>2004</v>
      </c>
      <c r="H101">
        <v>9</v>
      </c>
      <c r="I101">
        <v>0</v>
      </c>
      <c r="J101" t="s">
        <v>30</v>
      </c>
      <c r="K101">
        <v>20</v>
      </c>
      <c r="L101">
        <f t="shared" ref="L101:L107" si="29">G101+K101</f>
        <v>2024</v>
      </c>
      <c r="M101">
        <f t="shared" ref="M101:M107" si="30">+L101+(H101/12)</f>
        <v>2024.75</v>
      </c>
      <c r="N101">
        <v>40000</v>
      </c>
      <c r="O101">
        <f t="shared" ref="O101:O107" si="31">N101-N101*I101</f>
        <v>40000</v>
      </c>
      <c r="P101">
        <f t="shared" ref="P101:P107" si="32">O101/K101/12</f>
        <v>166.66666666666666</v>
      </c>
      <c r="Q101">
        <f t="shared" ref="Q101:Q107" si="33">P101*12</f>
        <v>2000</v>
      </c>
      <c r="R101">
        <f t="shared" ref="R101:R107" si="34">+IF(M101&lt;=$O$6,0,IF(L101&gt;$O$5,Q101,(P101*G101)))</f>
        <v>2000</v>
      </c>
      <c r="S101">
        <f t="shared" ref="S101:S107" si="35">+IF(R101=0,N101,IF($O$5-G101&lt;1,0,(($O$5-G101)*Q101)))</f>
        <v>26000</v>
      </c>
      <c r="T101">
        <f t="shared" ref="T101:T107" si="36">+IF(R101=0,S101,S101+R101)</f>
        <v>28000</v>
      </c>
      <c r="U101">
        <f t="shared" ref="U101:U107" si="37">+IF(R101=0,0,((N101-S101)+(N101-T101))/2)</f>
        <v>13000</v>
      </c>
    </row>
    <row r="102" spans="1:21">
      <c r="A102" t="s">
        <v>178</v>
      </c>
      <c r="C102" t="s">
        <v>582</v>
      </c>
      <c r="G102">
        <v>2004</v>
      </c>
      <c r="H102">
        <v>9</v>
      </c>
      <c r="I102">
        <v>0</v>
      </c>
      <c r="J102" t="s">
        <v>30</v>
      </c>
      <c r="K102">
        <v>20</v>
      </c>
      <c r="L102">
        <f t="shared" si="29"/>
        <v>2024</v>
      </c>
      <c r="M102">
        <f t="shared" si="30"/>
        <v>2024.75</v>
      </c>
      <c r="N102">
        <v>240000</v>
      </c>
      <c r="O102">
        <f t="shared" si="31"/>
        <v>240000</v>
      </c>
      <c r="P102">
        <f t="shared" si="32"/>
        <v>1000</v>
      </c>
      <c r="Q102">
        <f t="shared" si="33"/>
        <v>12000</v>
      </c>
      <c r="R102">
        <f t="shared" si="34"/>
        <v>12000</v>
      </c>
      <c r="S102">
        <f t="shared" si="35"/>
        <v>156000</v>
      </c>
      <c r="T102">
        <f t="shared" si="36"/>
        <v>168000</v>
      </c>
      <c r="U102">
        <f t="shared" si="37"/>
        <v>78000</v>
      </c>
    </row>
    <row r="103" spans="1:21">
      <c r="A103" t="s">
        <v>178</v>
      </c>
      <c r="C103" t="s">
        <v>517</v>
      </c>
      <c r="D103" t="s">
        <v>518</v>
      </c>
      <c r="E103">
        <v>80461</v>
      </c>
      <c r="G103">
        <v>2011</v>
      </c>
      <c r="H103">
        <v>3</v>
      </c>
      <c r="I103">
        <v>0</v>
      </c>
      <c r="J103" t="s">
        <v>30</v>
      </c>
      <c r="K103">
        <v>20</v>
      </c>
      <c r="L103">
        <f t="shared" si="29"/>
        <v>2031</v>
      </c>
      <c r="M103">
        <f t="shared" si="30"/>
        <v>2031.25</v>
      </c>
      <c r="N103">
        <f>841.06+841.06</f>
        <v>1682.12</v>
      </c>
      <c r="O103">
        <f t="shared" si="31"/>
        <v>1682.12</v>
      </c>
      <c r="P103">
        <f t="shared" si="32"/>
        <v>7.0088333333333326</v>
      </c>
      <c r="Q103">
        <f t="shared" si="33"/>
        <v>84.105999999999995</v>
      </c>
      <c r="R103">
        <f t="shared" si="34"/>
        <v>84.105999999999995</v>
      </c>
      <c r="S103">
        <f t="shared" si="35"/>
        <v>504.63599999999997</v>
      </c>
      <c r="T103">
        <f t="shared" si="36"/>
        <v>588.74199999999996</v>
      </c>
      <c r="U103">
        <f t="shared" si="37"/>
        <v>1135.431</v>
      </c>
    </row>
    <row r="104" spans="1:21">
      <c r="A104" t="s">
        <v>178</v>
      </c>
      <c r="C104" t="s">
        <v>523</v>
      </c>
      <c r="D104" t="s">
        <v>524</v>
      </c>
      <c r="E104">
        <v>80461</v>
      </c>
      <c r="G104">
        <v>2011</v>
      </c>
      <c r="H104">
        <v>3</v>
      </c>
      <c r="I104">
        <v>0</v>
      </c>
      <c r="J104" t="s">
        <v>30</v>
      </c>
      <c r="K104">
        <v>20</v>
      </c>
      <c r="L104">
        <f t="shared" si="29"/>
        <v>2031</v>
      </c>
      <c r="M104">
        <f t="shared" si="30"/>
        <v>2031.25</v>
      </c>
      <c r="N104">
        <f>5574.14+2711.89</f>
        <v>8286.0300000000007</v>
      </c>
      <c r="O104">
        <f t="shared" si="31"/>
        <v>8286.0300000000007</v>
      </c>
      <c r="P104">
        <f t="shared" si="32"/>
        <v>34.525125000000003</v>
      </c>
      <c r="Q104">
        <f t="shared" si="33"/>
        <v>414.30150000000003</v>
      </c>
      <c r="R104">
        <f t="shared" si="34"/>
        <v>414.30150000000003</v>
      </c>
      <c r="S104">
        <f t="shared" si="35"/>
        <v>2485.8090000000002</v>
      </c>
      <c r="T104">
        <f t="shared" si="36"/>
        <v>2900.1105000000002</v>
      </c>
      <c r="U104">
        <f t="shared" si="37"/>
        <v>5593.0702500000007</v>
      </c>
    </row>
    <row r="105" spans="1:21">
      <c r="A105" t="s">
        <v>178</v>
      </c>
      <c r="C105" t="s">
        <v>526</v>
      </c>
      <c r="D105">
        <v>82335</v>
      </c>
      <c r="E105">
        <v>80461</v>
      </c>
      <c r="G105">
        <v>2011</v>
      </c>
      <c r="H105">
        <v>3</v>
      </c>
      <c r="I105">
        <v>0</v>
      </c>
      <c r="J105" t="s">
        <v>30</v>
      </c>
      <c r="K105">
        <v>20</v>
      </c>
      <c r="L105">
        <f t="shared" si="29"/>
        <v>2031</v>
      </c>
      <c r="M105">
        <f t="shared" si="30"/>
        <v>2031.25</v>
      </c>
      <c r="N105">
        <v>5668.3</v>
      </c>
      <c r="O105">
        <f t="shared" si="31"/>
        <v>5668.3</v>
      </c>
      <c r="P105">
        <f t="shared" si="32"/>
        <v>23.61791666666667</v>
      </c>
      <c r="Q105">
        <f t="shared" si="33"/>
        <v>283.41500000000002</v>
      </c>
      <c r="R105">
        <f t="shared" si="34"/>
        <v>283.41500000000002</v>
      </c>
      <c r="S105">
        <f t="shared" si="35"/>
        <v>1700.4900000000002</v>
      </c>
      <c r="T105">
        <f t="shared" si="36"/>
        <v>1983.9050000000002</v>
      </c>
      <c r="U105">
        <f t="shared" si="37"/>
        <v>3826.1025</v>
      </c>
    </row>
    <row r="106" spans="1:21">
      <c r="A106" t="s">
        <v>178</v>
      </c>
      <c r="C106" t="s">
        <v>580</v>
      </c>
      <c r="D106" t="s">
        <v>516</v>
      </c>
      <c r="E106">
        <v>80461</v>
      </c>
      <c r="G106">
        <v>2011</v>
      </c>
      <c r="H106">
        <v>3</v>
      </c>
      <c r="I106">
        <v>0</v>
      </c>
      <c r="J106" t="s">
        <v>30</v>
      </c>
      <c r="K106">
        <v>20</v>
      </c>
      <c r="L106">
        <f t="shared" si="29"/>
        <v>2031</v>
      </c>
      <c r="M106">
        <f t="shared" si="30"/>
        <v>2031.25</v>
      </c>
      <c r="N106">
        <f>31000.84+80823.8+245.11+59592+4618.5+20568.07+6693.53+6062.87</f>
        <v>209604.72</v>
      </c>
      <c r="O106">
        <f t="shared" si="31"/>
        <v>209604.72</v>
      </c>
      <c r="P106">
        <f t="shared" si="32"/>
        <v>873.35300000000007</v>
      </c>
      <c r="Q106">
        <f t="shared" si="33"/>
        <v>10480.236000000001</v>
      </c>
      <c r="R106">
        <f t="shared" si="34"/>
        <v>10480.236000000001</v>
      </c>
      <c r="S106">
        <f t="shared" si="35"/>
        <v>62881.416000000005</v>
      </c>
      <c r="T106">
        <f t="shared" si="36"/>
        <v>73361.652000000002</v>
      </c>
      <c r="U106">
        <f t="shared" si="37"/>
        <v>141483.18599999999</v>
      </c>
    </row>
    <row r="107" spans="1:21">
      <c r="A107" t="s">
        <v>178</v>
      </c>
      <c r="C107" t="s">
        <v>512</v>
      </c>
      <c r="D107" t="s">
        <v>513</v>
      </c>
      <c r="E107">
        <v>80461</v>
      </c>
      <c r="G107">
        <v>2011</v>
      </c>
      <c r="H107">
        <v>3</v>
      </c>
      <c r="I107">
        <v>0</v>
      </c>
      <c r="J107" t="s">
        <v>30</v>
      </c>
      <c r="K107">
        <v>10</v>
      </c>
      <c r="L107">
        <f t="shared" si="29"/>
        <v>2021</v>
      </c>
      <c r="M107">
        <f t="shared" si="30"/>
        <v>2021.25</v>
      </c>
      <c r="N107">
        <f>394.57+25.62+247.56+1955.1+1108.85+1867.48+4357.52+196.74+938.88</f>
        <v>11092.32</v>
      </c>
      <c r="O107">
        <f t="shared" si="31"/>
        <v>11092.32</v>
      </c>
      <c r="P107">
        <f t="shared" si="32"/>
        <v>92.435999999999993</v>
      </c>
      <c r="Q107">
        <f t="shared" si="33"/>
        <v>1109.232</v>
      </c>
      <c r="R107">
        <f t="shared" si="34"/>
        <v>1109.232</v>
      </c>
      <c r="S107">
        <f t="shared" si="35"/>
        <v>6655.3919999999998</v>
      </c>
      <c r="T107">
        <f t="shared" si="36"/>
        <v>7764.6239999999998</v>
      </c>
      <c r="U107">
        <f t="shared" si="37"/>
        <v>3882.3119999999999</v>
      </c>
    </row>
    <row r="109" spans="1:21">
      <c r="L109" t="s">
        <v>586</v>
      </c>
      <c r="N109">
        <f t="shared" ref="N109:U109" si="38">SUM(N101:N108)</f>
        <v>516333.49000000005</v>
      </c>
      <c r="O109">
        <f t="shared" si="38"/>
        <v>516333.49000000005</v>
      </c>
      <c r="P109">
        <f t="shared" si="38"/>
        <v>2197.6075416666667</v>
      </c>
      <c r="Q109">
        <f t="shared" si="38"/>
        <v>26371.290499999999</v>
      </c>
      <c r="R109">
        <f t="shared" si="38"/>
        <v>26371.290499999999</v>
      </c>
      <c r="S109">
        <f t="shared" si="38"/>
        <v>256227.74299999999</v>
      </c>
      <c r="T109">
        <f t="shared" si="38"/>
        <v>282599.03350000002</v>
      </c>
      <c r="U109">
        <f t="shared" si="38"/>
        <v>246920.10175</v>
      </c>
    </row>
    <row r="111" spans="1:21">
      <c r="B111" t="s">
        <v>584</v>
      </c>
    </row>
    <row r="112" spans="1:21">
      <c r="A112" t="s">
        <v>585</v>
      </c>
      <c r="C112" t="s">
        <v>514</v>
      </c>
      <c r="D112" t="s">
        <v>515</v>
      </c>
      <c r="E112">
        <v>80461</v>
      </c>
      <c r="G112">
        <v>2011</v>
      </c>
      <c r="H112">
        <v>3</v>
      </c>
      <c r="I112">
        <v>0</v>
      </c>
      <c r="J112" t="s">
        <v>30</v>
      </c>
      <c r="K112">
        <v>20</v>
      </c>
      <c r="L112">
        <f>G112+K112</f>
        <v>2031</v>
      </c>
      <c r="M112">
        <f>+L112+(H112/12)</f>
        <v>2031.25</v>
      </c>
      <c r="N112">
        <f>3166.67+673+2240.65+3836.43+6424143.01-114.39+4566.5+20661.47+138250.85+835.05+210612.12+269528.37+118437+71579.83+301+2739.6+45+8499.35-11853.59+5255+553.12+345+216.12+555+5427.5+8571.02+1676.81+2011.12+9964.88+636.67+3673.77+2278.91+2133.77+23372.76</f>
        <v>7334819.3699999973</v>
      </c>
      <c r="O112">
        <f>N112-N112*I112</f>
        <v>7334819.3699999973</v>
      </c>
      <c r="P112">
        <f>O112/K112/12</f>
        <v>30561.747374999988</v>
      </c>
      <c r="Q112">
        <f>P112*12</f>
        <v>366740.96849999984</v>
      </c>
      <c r="R112">
        <f>+IF(M112&lt;=$O$6,0,IF(L112&gt;$O$5,Q112,(P112*G112)))</f>
        <v>366740.96849999984</v>
      </c>
      <c r="S112">
        <f>+IF(R112=0,N112,IF($O$5-G112&lt;1,0,(($O$5-G112)*Q112)))</f>
        <v>2200445.8109999988</v>
      </c>
      <c r="T112">
        <f>+IF(R112=0,S112,S112+R112)</f>
        <v>2567186.7794999988</v>
      </c>
      <c r="U112">
        <f>+IF(R112=0,0,((N112-S112)+(N112-T112))/2)</f>
        <v>4951003.0747499987</v>
      </c>
    </row>
    <row r="113" spans="1:21">
      <c r="A113" t="s">
        <v>585</v>
      </c>
      <c r="C113" t="s">
        <v>519</v>
      </c>
      <c r="D113" t="s">
        <v>520</v>
      </c>
      <c r="E113">
        <v>80461</v>
      </c>
      <c r="G113">
        <v>2011</v>
      </c>
      <c r="H113">
        <v>3</v>
      </c>
      <c r="I113">
        <v>0</v>
      </c>
      <c r="J113" t="s">
        <v>30</v>
      </c>
      <c r="K113">
        <v>20</v>
      </c>
      <c r="L113">
        <f>G113+K113</f>
        <v>2031</v>
      </c>
      <c r="M113">
        <f>+L113+(H113/12)</f>
        <v>2031.25</v>
      </c>
      <c r="N113">
        <f>8812.86+42012.06+7370.54</f>
        <v>58195.46</v>
      </c>
      <c r="O113">
        <f>N113-N113*I113</f>
        <v>58195.46</v>
      </c>
      <c r="P113">
        <f>O113/K113/12</f>
        <v>242.48108333333334</v>
      </c>
      <c r="Q113">
        <f>P113*12</f>
        <v>2909.7730000000001</v>
      </c>
      <c r="R113">
        <f>+IF(M113&lt;=$O$6,0,IF(L113&gt;$O$5,Q113,(P113*G113)))</f>
        <v>2909.7730000000001</v>
      </c>
      <c r="S113">
        <f>+IF(R113=0,N113,IF($O$5-G113&lt;1,0,(($O$5-G113)*Q113)))</f>
        <v>17458.637999999999</v>
      </c>
      <c r="T113">
        <f>+IF(R113=0,S113,S113+R113)</f>
        <v>20368.411</v>
      </c>
      <c r="U113">
        <f>+IF(R113=0,0,((N113-S113)+(N113-T113))/2)</f>
        <v>39281.9355</v>
      </c>
    </row>
    <row r="114" spans="1:21">
      <c r="A114" t="s">
        <v>585</v>
      </c>
      <c r="C114" t="s">
        <v>521</v>
      </c>
      <c r="D114" t="s">
        <v>522</v>
      </c>
      <c r="E114">
        <v>80461</v>
      </c>
      <c r="G114">
        <v>2011</v>
      </c>
      <c r="H114">
        <v>3</v>
      </c>
      <c r="I114">
        <v>0</v>
      </c>
      <c r="J114" t="s">
        <v>30</v>
      </c>
      <c r="K114">
        <v>20</v>
      </c>
      <c r="L114">
        <f>G114+K114</f>
        <v>2031</v>
      </c>
      <c r="M114">
        <f>+L114+(H114/12)</f>
        <v>2031.25</v>
      </c>
      <c r="N114">
        <f>8580.16+8580.17</f>
        <v>17160.330000000002</v>
      </c>
      <c r="O114">
        <f>N114-N114*I114</f>
        <v>17160.330000000002</v>
      </c>
      <c r="P114">
        <f>O114/K114/12</f>
        <v>71.50137500000001</v>
      </c>
      <c r="Q114">
        <f>P114*12</f>
        <v>858.01650000000018</v>
      </c>
      <c r="R114">
        <f>+IF(M114&lt;=$O$6,0,IF(L114&gt;$O$5,Q114,(P114*G114)))</f>
        <v>858.01650000000018</v>
      </c>
      <c r="S114">
        <f>+IF(R114=0,N114,IF($O$5-G114&lt;1,0,(($O$5-G114)*Q114)))</f>
        <v>5148.0990000000011</v>
      </c>
      <c r="T114">
        <f>+IF(R114=0,S114,S114+R114)</f>
        <v>6006.1155000000017</v>
      </c>
      <c r="U114">
        <f>+IF(R114=0,0,((N114-S114)+(N114-T114))/2)</f>
        <v>11583.222750000001</v>
      </c>
    </row>
    <row r="115" spans="1:21">
      <c r="A115" t="s">
        <v>585</v>
      </c>
      <c r="C115" t="s">
        <v>525</v>
      </c>
      <c r="D115">
        <v>80941</v>
      </c>
      <c r="E115">
        <v>80461</v>
      </c>
      <c r="G115">
        <v>2011</v>
      </c>
      <c r="H115">
        <v>3</v>
      </c>
      <c r="I115">
        <v>0</v>
      </c>
      <c r="J115" t="s">
        <v>30</v>
      </c>
      <c r="K115">
        <v>20</v>
      </c>
      <c r="L115">
        <f>G115+K115</f>
        <v>2031</v>
      </c>
      <c r="M115">
        <f>+L115+(H115/12)</f>
        <v>2031.25</v>
      </c>
      <c r="N115">
        <v>23823.03</v>
      </c>
      <c r="O115">
        <f>N115-N115*I115</f>
        <v>23823.03</v>
      </c>
      <c r="P115">
        <f>O115/K115/12</f>
        <v>99.262625</v>
      </c>
      <c r="Q115">
        <f>P115*12</f>
        <v>1191.1514999999999</v>
      </c>
      <c r="R115">
        <f>+IF(M115&lt;=$O$6,0,IF(L115&gt;$O$5,Q115,(P115*G115)))</f>
        <v>1191.1514999999999</v>
      </c>
      <c r="S115">
        <f>+IF(R115=0,N115,IF($O$5-G115&lt;1,0,(($O$5-G115)*Q115)))</f>
        <v>7146.9089999999997</v>
      </c>
      <c r="T115">
        <f>+IF(R115=0,S115,S115+R115)</f>
        <v>8338.0604999999996</v>
      </c>
      <c r="U115">
        <f>+IF(R115=0,0,((N115-S115)+(N115-T115))/2)</f>
        <v>16080.545249999999</v>
      </c>
    </row>
    <row r="117" spans="1:21">
      <c r="L117" t="s">
        <v>587</v>
      </c>
      <c r="N117">
        <f>SUM(N112:N116)</f>
        <v>7433998.1899999976</v>
      </c>
      <c r="O117">
        <f>SUM(O112:O116)</f>
        <v>7433998.1899999976</v>
      </c>
      <c r="P117">
        <f>SUM(P112:P116)</f>
        <v>30974.99245833332</v>
      </c>
      <c r="Q117">
        <f>SUM(Q112:Q116)</f>
        <v>371699.90949999983</v>
      </c>
      <c r="R117">
        <f>SUM(R107:R116)</f>
        <v>399180.43199999986</v>
      </c>
      <c r="S117">
        <f>SUM(S112:S116)</f>
        <v>2230199.4569999985</v>
      </c>
      <c r="T117">
        <f>SUM(T112:T116)</f>
        <v>2601899.3664999986</v>
      </c>
      <c r="U117">
        <f>SUM(U112:U116)</f>
        <v>5017948.7782499986</v>
      </c>
    </row>
    <row r="119" spans="1:21">
      <c r="B119" t="s">
        <v>700</v>
      </c>
    </row>
    <row r="120" spans="1:21">
      <c r="A120" t="s">
        <v>353</v>
      </c>
      <c r="C120" t="s">
        <v>550</v>
      </c>
      <c r="G120">
        <v>2005</v>
      </c>
      <c r="H120">
        <v>8</v>
      </c>
      <c r="I120">
        <v>0</v>
      </c>
      <c r="J120" t="s">
        <v>30</v>
      </c>
      <c r="K120">
        <v>5</v>
      </c>
      <c r="L120">
        <f>G120+K120</f>
        <v>2010</v>
      </c>
      <c r="M120">
        <f>+L120+(H120/12)</f>
        <v>2010.6666666666667</v>
      </c>
      <c r="N120">
        <v>32918.879999999997</v>
      </c>
      <c r="O120">
        <f>N120-N120*I120</f>
        <v>32918.879999999997</v>
      </c>
      <c r="P120">
        <f>O120/K120/12</f>
        <v>548.64800000000002</v>
      </c>
      <c r="Q120">
        <f>P120*12</f>
        <v>6583.7759999999998</v>
      </c>
      <c r="R120">
        <f>+IF(M120&lt;=$O$6,0,IF(L120&gt;$O$5,Q120,(P120*G120)))</f>
        <v>0</v>
      </c>
      <c r="S120">
        <f>+IF(R120=0,N120,IF($O$5-G120&lt;1,0,(($O$5-G120)*Q120)))</f>
        <v>32918.879999999997</v>
      </c>
      <c r="T120">
        <f>+IF(R120=0,S120,S120+R120)</f>
        <v>32918.879999999997</v>
      </c>
      <c r="U120">
        <f>+IF(R120=0,0,((N120-S120)+(N120-T120))/2)</f>
        <v>0</v>
      </c>
    </row>
    <row r="121" spans="1:21">
      <c r="A121" t="s">
        <v>353</v>
      </c>
      <c r="C121" t="s">
        <v>596</v>
      </c>
      <c r="D121">
        <v>86834</v>
      </c>
      <c r="G121">
        <v>2008</v>
      </c>
      <c r="H121">
        <v>11</v>
      </c>
      <c r="I121">
        <v>0.33</v>
      </c>
      <c r="J121" t="s">
        <v>30</v>
      </c>
      <c r="K121">
        <v>3</v>
      </c>
      <c r="L121">
        <f>G121+K121</f>
        <v>2011</v>
      </c>
      <c r="M121">
        <f>+L121+(H121/12)</f>
        <v>2011.9166666666667</v>
      </c>
      <c r="N121">
        <v>2500</v>
      </c>
      <c r="O121">
        <f>N121-N121*I121</f>
        <v>1675</v>
      </c>
      <c r="P121">
        <f>O121/K121/12</f>
        <v>46.527777777777779</v>
      </c>
      <c r="Q121">
        <f>P121*12</f>
        <v>558.33333333333337</v>
      </c>
      <c r="R121">
        <f>+IF(M121&lt;=$O$6,0,IF(L121&gt;$O$5,Q121,(P121*G121)))</f>
        <v>0</v>
      </c>
      <c r="S121">
        <f>+IF(R121=0,N121,IF($O$5-G121&lt;1,0,(($O$5-G121)*Q121)))</f>
        <v>2500</v>
      </c>
      <c r="T121">
        <f>+IF(R121=0,S121,S121+R121)</f>
        <v>2500</v>
      </c>
      <c r="U121">
        <f>+IF(R121=0,0,((N121-S121)+(N121-T121))/2)</f>
        <v>0</v>
      </c>
    </row>
    <row r="122" spans="1:21">
      <c r="C122" t="s">
        <v>695</v>
      </c>
      <c r="D122">
        <v>110353</v>
      </c>
      <c r="G122">
        <v>2013</v>
      </c>
      <c r="H122">
        <v>11</v>
      </c>
      <c r="I122">
        <v>0</v>
      </c>
      <c r="J122" t="s">
        <v>30</v>
      </c>
      <c r="K122">
        <v>10</v>
      </c>
      <c r="L122">
        <f>G122+K122</f>
        <v>2023</v>
      </c>
      <c r="M122">
        <f>+L122+(H122/12)</f>
        <v>2023.9166666666667</v>
      </c>
      <c r="N122">
        <v>99307.78</v>
      </c>
      <c r="O122">
        <f>N122-N122*I122</f>
        <v>99307.78</v>
      </c>
      <c r="P122">
        <f>O122/K122/12</f>
        <v>827.56483333333335</v>
      </c>
      <c r="Q122">
        <f>P122*12</f>
        <v>9930.7780000000002</v>
      </c>
      <c r="R122">
        <f>+IF(M122&lt;=$O$6,0,IF(L122&gt;$O$5,Q122,(P122*G122)))</f>
        <v>9930.7780000000002</v>
      </c>
      <c r="S122">
        <f>+IF(R122=0,N122,IF($O$5-G122&lt;1,0,(($O$5-G122)*Q122)))</f>
        <v>39723.112000000001</v>
      </c>
      <c r="T122">
        <f>+IF(R122=0,S122,S122+R122)</f>
        <v>49653.89</v>
      </c>
      <c r="U122">
        <f>+IF(R122=0,0,((N122-S122)+(N122-T122))/2)</f>
        <v>54619.278999999995</v>
      </c>
    </row>
    <row r="124" spans="1:21">
      <c r="L124" t="s">
        <v>701</v>
      </c>
      <c r="N124">
        <f>SUM(N120:N123)</f>
        <v>134726.66</v>
      </c>
      <c r="O124">
        <f>SUM(O120:O123)</f>
        <v>133901.66</v>
      </c>
      <c r="P124">
        <f>SUM(P120:P123)</f>
        <v>1422.7406111111113</v>
      </c>
      <c r="Q124">
        <f>SUM(Q120:Q123)</f>
        <v>17072.887333333332</v>
      </c>
      <c r="R124">
        <f>SUM(R123:R123)</f>
        <v>0</v>
      </c>
      <c r="S124">
        <f>SUM(S120:S123)</f>
        <v>75141.991999999998</v>
      </c>
      <c r="T124">
        <f>SUM(T120:T123)</f>
        <v>85072.76999999999</v>
      </c>
      <c r="U124">
        <f>SUM(U120:U123)</f>
        <v>54619.278999999995</v>
      </c>
    </row>
    <row r="125" spans="1:21">
      <c r="B125" t="s">
        <v>535</v>
      </c>
    </row>
    <row r="126" spans="1:21">
      <c r="C126" t="s">
        <v>534</v>
      </c>
      <c r="D126">
        <v>60675</v>
      </c>
      <c r="G126">
        <v>2008</v>
      </c>
      <c r="H126">
        <v>11</v>
      </c>
      <c r="N126">
        <v>9148000</v>
      </c>
      <c r="U126">
        <f>N126</f>
        <v>9148000</v>
      </c>
    </row>
    <row r="128" spans="1:21">
      <c r="L128" t="s">
        <v>465</v>
      </c>
      <c r="N128">
        <f t="shared" ref="N128:U128" si="39">N124+N117+N97+N53+N37+N126+N109</f>
        <v>19012709.319999997</v>
      </c>
      <c r="O128">
        <f t="shared" si="39"/>
        <v>9759357.6791999992</v>
      </c>
      <c r="P128">
        <f t="shared" si="39"/>
        <v>60553.099041428555</v>
      </c>
      <c r="Q128">
        <f t="shared" si="39"/>
        <v>726637.18849714275</v>
      </c>
      <c r="R128">
        <f t="shared" si="39"/>
        <v>611934.9802209523</v>
      </c>
      <c r="S128">
        <f t="shared" si="39"/>
        <v>3844981.89506476</v>
      </c>
      <c r="T128">
        <f t="shared" si="39"/>
        <v>4469346.6270428561</v>
      </c>
      <c r="U128">
        <f t="shared" si="39"/>
        <v>14855545.058946189</v>
      </c>
    </row>
    <row r="132" spans="1:21">
      <c r="C132" t="s">
        <v>677</v>
      </c>
    </row>
    <row r="133" spans="1:21">
      <c r="A133" t="s">
        <v>178</v>
      </c>
      <c r="B133">
        <v>6029</v>
      </c>
      <c r="C133" t="s">
        <v>182</v>
      </c>
      <c r="G133">
        <v>2003</v>
      </c>
      <c r="H133">
        <v>3</v>
      </c>
      <c r="I133">
        <v>0.2</v>
      </c>
      <c r="J133" t="s">
        <v>30</v>
      </c>
      <c r="K133">
        <v>7</v>
      </c>
      <c r="L133">
        <f>G133+K133</f>
        <v>2010</v>
      </c>
      <c r="M133">
        <f>+L133+(H133/12)</f>
        <v>2010.25</v>
      </c>
      <c r="N133">
        <v>16108.62</v>
      </c>
      <c r="O133">
        <f>N133-N133*I133</f>
        <v>12886.896000000001</v>
      </c>
      <c r="P133">
        <f>O133/K133/12</f>
        <v>153.41542857142858</v>
      </c>
      <c r="Q133">
        <f>P133*12</f>
        <v>1840.9851428571428</v>
      </c>
      <c r="R133">
        <f>+IF(M133&lt;=$O$6,0,IF(L133&gt;$O$5,Q133,(P133*G133)))</f>
        <v>0</v>
      </c>
      <c r="S133">
        <f>+IF(R133=0,N133,IF($O$5-G133&lt;1,0,(($O$5-G133)*Q133)))</f>
        <v>16108.62</v>
      </c>
      <c r="T133">
        <f>+IF(R133=0,S133,S133+R133)</f>
        <v>16108.62</v>
      </c>
      <c r="U133">
        <f>+IF(R133=0,0,((N133-S133)+(N133-T133))/2)</f>
        <v>0</v>
      </c>
    </row>
    <row r="135" spans="1:21">
      <c r="C135" t="s">
        <v>764</v>
      </c>
    </row>
    <row r="136" spans="1:21">
      <c r="A136" t="s">
        <v>178</v>
      </c>
      <c r="B136">
        <v>6033</v>
      </c>
      <c r="C136" t="s">
        <v>291</v>
      </c>
      <c r="G136">
        <v>2005</v>
      </c>
      <c r="H136">
        <v>10</v>
      </c>
      <c r="I136">
        <v>0.33</v>
      </c>
      <c r="J136" t="s">
        <v>30</v>
      </c>
      <c r="K136">
        <v>5</v>
      </c>
      <c r="L136">
        <f>G136+K136</f>
        <v>2010</v>
      </c>
      <c r="M136">
        <f>+L136+(H136/12)</f>
        <v>2010.8333333333333</v>
      </c>
      <c r="N136">
        <v>2160.1799999999998</v>
      </c>
      <c r="O136">
        <f>N136-N136*I136</f>
        <v>1447.3206</v>
      </c>
      <c r="P136">
        <f>O136/K136/12</f>
        <v>24.12201</v>
      </c>
      <c r="Q136">
        <f>P136*12</f>
        <v>289.46411999999998</v>
      </c>
      <c r="R136">
        <f>+IF(M136&lt;=$O$6,0,IF(L136&gt;$O$5,Q136,(P136*G136)))</f>
        <v>0</v>
      </c>
      <c r="S136">
        <f>+IF(R136=0,N136,IF($O$5-G136&lt;1,0,(($O$5-G136)*Q136)))</f>
        <v>2160.1799999999998</v>
      </c>
      <c r="T136">
        <f>+IF(R136=0,S136,S136+R136)</f>
        <v>2160.1799999999998</v>
      </c>
      <c r="U136">
        <f>+IF(R136=0,0,((N136-S136)+(N136-T136))/2)</f>
        <v>0</v>
      </c>
    </row>
    <row r="138" spans="1:21">
      <c r="C138" t="s">
        <v>835</v>
      </c>
    </row>
    <row r="139" spans="1:21">
      <c r="B139">
        <v>6627</v>
      </c>
      <c r="C139" t="s">
        <v>667</v>
      </c>
      <c r="D139">
        <v>103332</v>
      </c>
      <c r="G139">
        <v>2013</v>
      </c>
      <c r="H139">
        <v>4</v>
      </c>
      <c r="I139">
        <v>0.2</v>
      </c>
      <c r="J139" t="s">
        <v>30</v>
      </c>
      <c r="K139">
        <v>7</v>
      </c>
      <c r="L139">
        <f>G139+K139</f>
        <v>2020</v>
      </c>
      <c r="M139">
        <f>+L139+(H139/12)</f>
        <v>2020.3333333333333</v>
      </c>
      <c r="N139">
        <v>25999.99</v>
      </c>
      <c r="O139">
        <f>N139-N139*I139</f>
        <v>20799.992000000002</v>
      </c>
      <c r="P139">
        <f>O139/K139/12</f>
        <v>247.61895238095238</v>
      </c>
      <c r="Q139">
        <f>P139*12</f>
        <v>2971.4274285714287</v>
      </c>
      <c r="R139">
        <f>+IF(M139&lt;=$O$6,0,IF(L139&gt;$O$5,Q139,(P139*G139)))</f>
        <v>2971.4274285714287</v>
      </c>
      <c r="S139">
        <f>+IF(R139=0,N139,IF($O$5-G139&lt;1,0,(($O$5-G139)*Q139)))</f>
        <v>11885.709714285715</v>
      </c>
      <c r="T139">
        <f>+IF(R139=0,S139,S139+R139)</f>
        <v>14857.137142857144</v>
      </c>
      <c r="U139">
        <f>+IF(R139=0,0,((N139-S139)+(N139-T139))/2)</f>
        <v>12628.566571428571</v>
      </c>
    </row>
    <row r="141" spans="1:21">
      <c r="C141" t="s">
        <v>906</v>
      </c>
    </row>
    <row r="142" spans="1:21">
      <c r="A142" t="s">
        <v>468</v>
      </c>
      <c r="B142">
        <v>6034</v>
      </c>
      <c r="C142" t="s">
        <v>350</v>
      </c>
      <c r="G142">
        <v>2009</v>
      </c>
      <c r="H142">
        <v>1</v>
      </c>
      <c r="I142">
        <v>0</v>
      </c>
      <c r="J142" t="s">
        <v>30</v>
      </c>
      <c r="K142">
        <v>3</v>
      </c>
      <c r="L142">
        <f>G142+K142</f>
        <v>2012</v>
      </c>
      <c r="M142">
        <f>+L142+(H142/12)</f>
        <v>2012.0833333333333</v>
      </c>
      <c r="N142">
        <v>4355.1400000000003</v>
      </c>
      <c r="O142">
        <f>N142-N142*I142</f>
        <v>4355.1400000000003</v>
      </c>
      <c r="P142">
        <f>O142/K142/12</f>
        <v>120.97611111111111</v>
      </c>
      <c r="Q142">
        <f>P142*12</f>
        <v>1451.7133333333334</v>
      </c>
      <c r="R142">
        <f>+IF(M142&lt;=$O$6,0,IF(L142&gt;$O$5,Q142,(P142*G142)))</f>
        <v>0</v>
      </c>
      <c r="S142">
        <f>+IF(R142=0,N142,IF($O$5-G142&lt;1,0,(($O$5-G142)*Q142)))</f>
        <v>4355.1400000000003</v>
      </c>
      <c r="T142">
        <f>+IF(R142=0,S142,S142+R142)</f>
        <v>4355.1400000000003</v>
      </c>
      <c r="U142">
        <f>+IF(R142=0,0,((N142-S142)+(N142-T142))/2)</f>
        <v>0</v>
      </c>
    </row>
    <row r="143" spans="1:21">
      <c r="A143" t="s">
        <v>468</v>
      </c>
      <c r="B143">
        <v>6034</v>
      </c>
      <c r="C143" t="s">
        <v>199</v>
      </c>
      <c r="G143">
        <v>2006</v>
      </c>
      <c r="H143">
        <v>3</v>
      </c>
      <c r="I143">
        <v>0.33</v>
      </c>
      <c r="J143" t="s">
        <v>30</v>
      </c>
      <c r="K143">
        <v>5</v>
      </c>
      <c r="L143">
        <f>G143+K143</f>
        <v>2011</v>
      </c>
      <c r="M143">
        <f>+L143+(H143/12)</f>
        <v>2011.25</v>
      </c>
      <c r="N143">
        <v>19888.93</v>
      </c>
      <c r="O143">
        <f>N143-N143*I143</f>
        <v>13325.5831</v>
      </c>
      <c r="P143">
        <f>O143/K143/12</f>
        <v>222.09305166666664</v>
      </c>
      <c r="Q143">
        <f>P143*12</f>
        <v>2665.1166199999998</v>
      </c>
      <c r="R143">
        <f>+IF(M143&lt;=$O$6,0,IF(L143&gt;$O$5,Q143,(P143*G143)))</f>
        <v>0</v>
      </c>
      <c r="S143">
        <f>+IF(R143=0,N143,IF($O$5-G143&lt;1,0,(($O$5-G143)*Q143)))</f>
        <v>19888.93</v>
      </c>
      <c r="T143">
        <f>+IF(R143=0,S143,S143+R143)</f>
        <v>19888.93</v>
      </c>
      <c r="U143">
        <f>+IF(R143=0,0,((N143-S143)+(N143-T143))/2)</f>
        <v>0</v>
      </c>
    </row>
    <row r="145" spans="3:3">
      <c r="C145" t="s">
        <v>953</v>
      </c>
    </row>
  </sheetData>
  <mergeCells count="3">
    <mergeCell ref="A3:C3"/>
    <mergeCell ref="G10:H10"/>
    <mergeCell ref="G11:H11"/>
  </mergeCells>
  <pageMargins left="0.7" right="0.7" top="0.75" bottom="0.75" header="0.3" footer="0.3"/>
  <pageSetup scale="58" fitToHeight="4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3454F252B790641B0500227D6281809" ma:contentTypeVersion="44" ma:contentTypeDescription="" ma:contentTypeScope="" ma:versionID="4135356f93ce4739b2a57f8f4b70f90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2020-01-17T08:00:00+00:00</OpenedDate>
    <SignificantOrder xmlns="dc463f71-b30c-4ab2-9473-d307f9d35888">false</SignificantOrder>
    <Date1 xmlns="dc463f71-b30c-4ab2-9473-d307f9d35888">2020-01-17T08:00:00+00:00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HAROLD LEMAY ENTERPRISES, INC.</CaseCompanyNames>
    <Nickname xmlns="http://schemas.microsoft.com/sharepoint/v3" xsi:nil="true"/>
    <DocketNumber xmlns="dc463f71-b30c-4ab2-9473-d307f9d35888">200044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9F9AF33-9A87-4834-94DF-7F50F3923DAF}"/>
</file>

<file path=customXml/itemProps2.xml><?xml version="1.0" encoding="utf-8"?>
<ds:datastoreItem xmlns:ds="http://schemas.openxmlformats.org/officeDocument/2006/customXml" ds:itemID="{3C640134-3B2A-4D38-A585-5BC0B09FE7AE}"/>
</file>

<file path=customXml/itemProps3.xml><?xml version="1.0" encoding="utf-8"?>
<ds:datastoreItem xmlns:ds="http://schemas.openxmlformats.org/officeDocument/2006/customXml" ds:itemID="{21B9C505-69D0-4672-AC85-7CD6E714A0EA}"/>
</file>

<file path=customXml/itemProps4.xml><?xml version="1.0" encoding="utf-8"?>
<ds:datastoreItem xmlns:ds="http://schemas.openxmlformats.org/officeDocument/2006/customXml" ds:itemID="{86F26CCF-0164-410E-B509-2A59E3DFCA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2180 Summary</vt:lpstr>
      <vt:lpstr>2180 Trucks</vt:lpstr>
      <vt:lpstr>2180 Cont, DB</vt:lpstr>
      <vt:lpstr>2180 Other</vt:lpstr>
      <vt:lpstr>2180 Trucks - Orig.</vt:lpstr>
      <vt:lpstr>2180 Other - Orig.</vt:lpstr>
      <vt:lpstr>'2180 Cont, DB'!Print_Area</vt:lpstr>
      <vt:lpstr>'2180 Other'!Print_Area</vt:lpstr>
      <vt:lpstr>'2180 Other - Orig.'!Print_Area</vt:lpstr>
      <vt:lpstr>'2180 Summary'!Print_Area</vt:lpstr>
      <vt:lpstr>'2180 Trucks'!Print_Area</vt:lpstr>
      <vt:lpstr>'2180 Trucks - Orig.'!Print_Area</vt:lpstr>
      <vt:lpstr>'2180 Cont, DB'!Print_Titles</vt:lpstr>
      <vt:lpstr>'2180 Other'!Print_Titles</vt:lpstr>
      <vt:lpstr>'2180 Other - Orig.'!Print_Titles</vt:lpstr>
      <vt:lpstr>'2180 Trucks'!Print_Titles</vt:lpstr>
      <vt:lpstr>'2180 Trucks - Orig.'!Print_Titles</vt:lpstr>
    </vt:vector>
  </TitlesOfParts>
  <Company>Waste Connections,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HeatherL</dc:creator>
  <cp:lastModifiedBy>Chelsea Paschke</cp:lastModifiedBy>
  <cp:lastPrinted>2020-01-17T00:44:11Z</cp:lastPrinted>
  <dcterms:created xsi:type="dcterms:W3CDTF">2010-12-20T17:52:58Z</dcterms:created>
  <dcterms:modified xsi:type="dcterms:W3CDTF">2020-01-17T00:45:11Z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0x0101006E56B4D1795A2E4DB2F0B01679ED314A0013454F252B790641B0500227D6281809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