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5" i="3"/>
  <c r="G62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5" i="3"/>
  <c r="D36" i="4"/>
  <c r="D37" i="4"/>
  <c r="D38" i="4"/>
  <c r="F62" i="3" l="1"/>
  <c r="D19" i="1" s="1"/>
  <c r="B30" i="4"/>
  <c r="D30" i="4"/>
  <c r="B8" i="4"/>
  <c r="D8" i="4"/>
  <c r="B5" i="4"/>
  <c r="D5" i="4"/>
  <c r="C5" i="4" l="1"/>
  <c r="C8" i="4"/>
  <c r="C30" i="4"/>
  <c r="B4" i="4"/>
  <c r="D4" i="4"/>
  <c r="C4" i="4" s="1"/>
  <c r="B29" i="4" l="1"/>
  <c r="B20" i="4" l="1"/>
  <c r="O33" i="4" l="1"/>
  <c r="U33" i="4" s="1"/>
  <c r="V33" i="4" s="1"/>
  <c r="O32" i="4"/>
  <c r="U32" i="4" s="1"/>
  <c r="V32" i="4" s="1"/>
  <c r="C9" i="4" s="1"/>
  <c r="D9" i="4" s="1"/>
  <c r="O31" i="4"/>
  <c r="U31" i="4" s="1"/>
  <c r="V31" i="4" s="1"/>
  <c r="O30" i="4"/>
  <c r="U30" i="4" s="1"/>
  <c r="V30" i="4" s="1"/>
  <c r="C7" i="4" s="1"/>
  <c r="D7" i="4" s="1"/>
  <c r="O29" i="4"/>
  <c r="U29" i="4" s="1"/>
  <c r="V29" i="4" s="1"/>
  <c r="C6" i="4" s="1"/>
  <c r="D6" i="4" s="1"/>
  <c r="O28" i="4"/>
  <c r="U28" i="4" s="1"/>
  <c r="V28" i="4" s="1"/>
  <c r="L27" i="4"/>
  <c r="O27" i="4" s="1"/>
  <c r="U27" i="4" s="1"/>
  <c r="V27" i="4" s="1"/>
  <c r="F27" i="4"/>
  <c r="F28" i="4" s="1"/>
  <c r="F29" i="4" s="1"/>
  <c r="F30" i="4" s="1"/>
  <c r="F31" i="4" s="1"/>
  <c r="F32" i="4" s="1"/>
  <c r="F33" i="4" s="1"/>
  <c r="O26" i="4"/>
  <c r="U26" i="4" s="1"/>
  <c r="V26" i="4" s="1"/>
  <c r="O24" i="4"/>
  <c r="U24" i="4" s="1"/>
  <c r="V24" i="4" s="1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5" i="4"/>
  <c r="D34" i="4"/>
  <c r="D33" i="4"/>
  <c r="D32" i="4"/>
  <c r="D31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E18" i="1" l="1"/>
  <c r="E19" i="1"/>
  <c r="D41" i="4"/>
  <c r="C41" i="4" l="1"/>
  <c r="F18" i="1"/>
  <c r="E3" i="3" l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J22" authorId="2" shapeId="0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L22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<sst xmlns="http://schemas.openxmlformats.org/spreadsheetml/2006/main" count="345" uniqueCount="236">
  <si>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</si>
  <si>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</si>
  <si>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</si>
  <si>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</si>
  <si>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</si>
  <si>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</si>
  <si>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</si>
  <si>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</si>
  <si>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</si>
  <si>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</si>
  <si>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</si>
  <si>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</si>
  <si>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</si>
  <si>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</si>
  <si>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</si>
  <si>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</si>
  <si>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</si>
  <si>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</si>
  <si>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</si>
  <si>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</si>
  <si>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</si>
  <si>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</si>
  <si>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</si>
  <si>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</si>
  <si>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</si>
  <si>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</si>
  <si>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</si>
  <si>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</si>
  <si>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</si>
  <si>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</si>
  <si>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</si>
  <si>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</si>
  <si>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</si>
  <si>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</si>
  <si>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</si>
  <si>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</si>
  <si>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</si>
  <si>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</si>
  <si>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</si>
  <si>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</si>
  <si>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</si>
  <si>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</si>
  <si>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</si>
  <si>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</si>
  <si>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</si>
  <si>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</si>
  <si>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</si>
  <si>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</si>
  <si>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</si>
  <si>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</si>
  <si>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</si>
  <si>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</si>
  <si>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</si>
  <si>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</si>
  <si>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</si>
  <si>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</si>
  <si>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</si>
  <si>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</si>
  <si>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</si>
  <si>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</si>
  <si>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</si>
  <si>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</si>
  <si>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</si>
  <si>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</si>
  <si>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</si>
  <si>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</si>
  <si>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</si>
  <si>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</si>
  <si>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</si>
  <si>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</si>
  <si>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</si>
  <si>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</si>
  <si>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</si>
  <si>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</si>
  <si>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</si>
  <si>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</si>
  <si>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</si>
  <si>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</si>
  <si>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</si>
  <si>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</si>
  <si>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</si>
  <si>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</si>
  <si>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</si>
  <si>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</si>
  <si>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</si>
  <si>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</si>
  <si>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</si>
  <si>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</si>
  <si>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</si>
  <si>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</si>
  <si>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</si>
  <si>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</si>
  <si>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</si>
  <si>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</si>
  <si>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</si>
  <si>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</si>
  <si>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</si>
  <si>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</si>
  <si>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</si>
  <si>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</si>
  <si>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</si>
  <si>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</si>
  <si>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</si>
  <si>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</si>
  <si>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</si>
  <si>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</si>
  <si>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</si>
  <si>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</si>
  <si>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</si>
  <si>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</si>
  <si>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</si>
  <si>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</si>
  <si>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</si>
  <si>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</si>
  <si>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</si>
  <si>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</si>
  <si>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</si>
  <si>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</si>
  <si>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</si>
  <si>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</si>
  <si>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</si>
  <si>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</si>
  <si>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</si>
  <si>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</si>
  <si>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</si>
  <si>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</si>
  <si>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</si>
  <si>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</si>
  <si>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</si>
  <si>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</si>
  <si>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Black Hills Power Inc.</t>
  </si>
  <si>
    <t>BP Energy Co.</t>
  </si>
  <si>
    <t>Brookfield Energy Marketing</t>
  </si>
  <si>
    <t>Calpine Energy Services L.P.</t>
  </si>
  <si>
    <t>Cargill Inc.</t>
  </si>
  <si>
    <t>Chelan County PUD No. 1</t>
  </si>
  <si>
    <t>Clark County PUD No. 1</t>
  </si>
  <si>
    <t>Clatskanie Peoples Util Dist</t>
  </si>
  <si>
    <t>EDF Trading Ltd.</t>
  </si>
  <si>
    <t>Engy Authrty</t>
  </si>
  <si>
    <t>Eugene City of</t>
  </si>
  <si>
    <t>Exelon Generation Company</t>
  </si>
  <si>
    <t>Grant County Public Utility</t>
  </si>
  <si>
    <t>Gridforce Energy Management LLC</t>
  </si>
  <si>
    <t>Iberdrola Renewables LLC</t>
  </si>
  <si>
    <t>Idaho Cnty L&amp;P Coop Assn Inc</t>
  </si>
  <si>
    <t>Idaho Power Co.</t>
  </si>
  <si>
    <t>J. Aron &amp; Co.</t>
  </si>
  <si>
    <t>Kootenai Electric Cooperative</t>
  </si>
  <si>
    <t>Macquarie Energy LLC</t>
  </si>
  <si>
    <t>Morgan Stanley Capital Group</t>
  </si>
  <si>
    <t>NextEra Energy Power Marketing</t>
  </si>
  <si>
    <t>NorthWestern Corp.</t>
  </si>
  <si>
    <t>PacifiCorp</t>
  </si>
  <si>
    <t>Portland General Electric Co.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</si>
  <si>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</si>
  <si>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</si>
  <si>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</si>
  <si>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</si>
  <si>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</si>
  <si>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</si>
  <si>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</si>
  <si>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Lancaster</t>
  </si>
  <si>
    <t>Seattle City Light</t>
  </si>
  <si>
    <t>Shell Energy North America US</t>
  </si>
  <si>
    <t>SMUD</t>
  </si>
  <si>
    <t>Southern California Edison Co.</t>
  </si>
  <si>
    <t>Sovereign Power</t>
  </si>
  <si>
    <t>Tacoma Public Utilities</t>
  </si>
  <si>
    <t>Talen Energy Marketing, LLC</t>
  </si>
  <si>
    <t>Tenaska Power Services Co.</t>
  </si>
  <si>
    <t>TransAlta Energy Marketing (US</t>
  </si>
  <si>
    <t>Tri-State G &amp; T Assn Inc</t>
  </si>
  <si>
    <t>Bonneville Power Admin (Unknown)</t>
  </si>
  <si>
    <t>Chelan County PUD No. 1 (Rocky Reach Hydro)</t>
  </si>
  <si>
    <t>Deep Creek Energy LLC (PURPA Hydro)</t>
  </si>
  <si>
    <t>Ford Electronics (PURPA Hydro)</t>
  </si>
  <si>
    <t>Hydro Technology Systems Inc (PURPA Hydro)</t>
  </si>
  <si>
    <t>J P Morgan Ventures Energy LLC (Stateline Wind PPA)</t>
  </si>
  <si>
    <t>Jim White (PURPA Hydro)</t>
  </si>
  <si>
    <t>Palouse Wind Holdings (Wind PPA)</t>
  </si>
  <si>
    <t>Phillips Ranch (PURPA Hydro)</t>
  </si>
  <si>
    <t>Sheep Creek Hydro Inc (PURPA Hydro)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</si>
  <si>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</si>
  <si>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</si>
  <si>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</si>
  <si>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</si>
  <si>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</si>
  <si>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</si>
  <si>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</si>
  <si>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</si>
  <si>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</si>
  <si>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 xml:space="preserve"> Gross Load (MW-h)</t>
  </si>
  <si>
    <t>ID</t>
  </si>
  <si>
    <t>Rathdrum Power, LLC</t>
  </si>
  <si>
    <t>CTGEN1</t>
  </si>
  <si>
    <t>ARP</t>
  </si>
  <si>
    <t>Spokane City of (Upriver Hydro)</t>
  </si>
  <si>
    <t>Spokane County (Digester)</t>
  </si>
  <si>
    <t>Simson Lumber Co. (PURPA Biomass)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</si>
  <si>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</si>
  <si>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Rathdrum Combustion Turbine Project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</si>
  <si>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</si>
  <si>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</si>
  <si>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</si>
  <si>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</si>
  <si>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</si>
  <si>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</si>
  <si>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</si>
  <si>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</si>
  <si>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</si>
  <si>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British Columbia Hydro and Power Author</t>
  </si>
  <si>
    <t>Burbank (CA)</t>
  </si>
  <si>
    <t>ConocoPhillips</t>
  </si>
  <si>
    <t>EDF Trading North America LLC</t>
  </si>
  <si>
    <t>Inland Power &amp; Light Co.</t>
  </si>
  <si>
    <t>JP Morgan Ventures Energy Corp</t>
  </si>
  <si>
    <t>J P Morgan Ventures Energy LLC</t>
  </si>
  <si>
    <t>Modesto Irrigation District</t>
  </si>
  <si>
    <t>NaturEner Power Watch LLC</t>
  </si>
  <si>
    <t>Nevada Power Co.</t>
  </si>
  <si>
    <t>Noble America's Gas and Power</t>
  </si>
  <si>
    <t>PPL Montana Holdings LLC</t>
  </si>
  <si>
    <t>Spokane City of</t>
  </si>
  <si>
    <t>Sierra Pacific Power Co.</t>
  </si>
  <si>
    <t>Turlock Irrigation District</t>
  </si>
  <si>
    <t>PUD No 1 of Pend Oreille Cnty (Box Canyon Hydro)</t>
  </si>
  <si>
    <t>Unknown Resources for Washington Customers</t>
  </si>
  <si>
    <t>Net Purchase</t>
  </si>
  <si>
    <t>Washington Department of Commerce Fuel Mix Report =</t>
  </si>
  <si>
    <t xml:space="preserve">Avista = </t>
  </si>
  <si>
    <t>Updated known resources to include 203,102 of hydro from PUD No 1 of Pend Oreille Cnty</t>
  </si>
  <si>
    <t>Updated known resources to include 2,350 MWh of PURPA landfill gas from Kootenai Electric Cooperative</t>
  </si>
  <si>
    <t>Tons CO2 Emissions from Purchases</t>
  </si>
  <si>
    <t>Net Unknown Purchases (MWh)</t>
  </si>
  <si>
    <t>Net Lbs CO2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</si>
</sst>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"/>
    <numFmt numFmtId="168" formatCode="0.000"/>
    <numFmt numFmtId="169" formatCode="#,##0.000"/>
    <numFmt numFmtId="170" formatCode="#,##0.0"/>
    <numFmt numFmtId="171" formatCode="#####0;\(#####0\)"/>
    <numFmt numFmtId="172" formatCode="###,##0.000;\(###,##0.000\)"/>
    <numFmt numFmtId="173" formatCode="###,##0;\(##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/>
    <xf numFmtId="0" fontId="12" fillId="0" borderId="0"/>
  </cellStyleXfs>
  <cellXfs count="171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167" fontId="11" fillId="3" borderId="2" xfId="0" applyNumberFormat="1" applyFont="1" applyFill="1" applyBorder="1" applyAlignment="1" applyProtection="1">
      <alignment horizontal="center" vertical="center"/>
      <protection locked="0"/>
    </xf>
    <xf numFmtId="3" fontId="10" fillId="4" borderId="2" xfId="1" applyNumberFormat="1" applyFont="1" applyFill="1" applyBorder="1" applyAlignment="1" applyProtection="1">
      <alignment horizontal="center" vertical="center"/>
      <protection locked="0"/>
    </xf>
    <xf numFmtId="3" fontId="10" fillId="4" borderId="2" xfId="1" quotePrefix="1" applyNumberFormat="1" applyFont="1" applyFill="1" applyBorder="1" applyAlignment="1" applyProtection="1">
      <alignment horizontal="center" vertical="center"/>
      <protection locked="0"/>
    </xf>
    <xf numFmtId="167" fontId="11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6" fillId="0" borderId="8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68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2" fillId="5" borderId="2" xfId="2" applyFont="1" applyFill="1" applyBorder="1" applyAlignment="1" applyProtection="1">
      <alignment horizontal="center" vertical="center" wrapText="1"/>
      <protection locked="0"/>
    </xf>
    <xf numFmtId="2" fontId="12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2" fontId="19" fillId="6" borderId="0" xfId="0" applyNumberFormat="1" applyFont="1" applyFill="1" applyBorder="1" applyAlignment="1" applyProtection="1">
      <alignment horizontal="center" vertical="center"/>
      <protection locked="0"/>
    </xf>
    <xf numFmtId="4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0" fillId="6" borderId="3" xfId="0" applyFont="1" applyFill="1" applyBorder="1" applyAlignment="1" applyProtection="1">
      <alignment horizontal="center" vertical="center" wrapText="1"/>
      <protection locked="0"/>
    </xf>
    <xf numFmtId="2" fontId="2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9" fontId="12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69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170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12" fillId="0" borderId="0" xfId="4" applyAlignment="1">
      <alignment horizontal="left"/>
    </xf>
    <xf numFmtId="171" fontId="12" fillId="0" borderId="0" xfId="4" applyNumberFormat="1" applyAlignment="1">
      <alignment horizontal="left"/>
    </xf>
    <xf numFmtId="172" fontId="12" fillId="0" borderId="0" xfId="4" applyNumberFormat="1" applyAlignment="1">
      <alignment horizontal="right"/>
    </xf>
    <xf numFmtId="173" fontId="12" fillId="0" borderId="0" xfId="4" applyNumberFormat="1" applyAlignment="1">
      <alignment horizontal="right"/>
    </xf>
    <xf numFmtId="43" fontId="0" fillId="2" borderId="2" xfId="1" applyNumberFormat="1" applyFont="1" applyFill="1" applyBorder="1"/>
    <xf numFmtId="43" fontId="0" fillId="10" borderId="0" xfId="0" applyNumberFormat="1" applyFill="1"/>
    <xf numFmtId="11" fontId="0" fillId="0" borderId="0" xfId="0" applyNumberFormat="1"/>
    <xf numFmtId="0" fontId="21" fillId="0" borderId="0" xfId="5"/>
    <xf numFmtId="0" fontId="12" fillId="0" borderId="0" xfId="6"/>
    <xf numFmtId="0" fontId="12" fillId="0" borderId="0" xfId="6" applyAlignment="1">
      <alignment horizontal="left"/>
    </xf>
    <xf numFmtId="173" fontId="12" fillId="0" borderId="0" xfId="6" applyNumberFormat="1" applyAlignment="1">
      <alignment horizontal="right"/>
    </xf>
    <xf numFmtId="173" fontId="0" fillId="0" borderId="0" xfId="0" applyNumberFormat="1"/>
    <xf numFmtId="43" fontId="0" fillId="0" borderId="0" xfId="0" applyNumberFormat="1"/>
    <xf numFmtId="0" fontId="24" fillId="0" borderId="0" xfId="3" applyFont="1"/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165" fontId="0" fillId="0" borderId="0" xfId="1" applyNumberFormat="1" applyFont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6" fillId="0" borderId="8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1" applyNumberFormat="1" applyFont="1" applyAlignment="1">
      <alignment wrapText="1"/>
    </xf>
  </cellXfs>
  <cellStyles count="7">
    <cellStyle name="Comma" xfId="1" builtinId="3"/>
    <cellStyle name="Normal" xfId="0" builtinId="0"/>
    <cellStyle name="Normal 2" xfId="4"/>
    <cellStyle name="Normal 3" xfId="6"/>
    <cellStyle name="Percent" xfId="2" builtinId="5"/>
    <cellStyle name="Style 22" xfId="3"/>
    <cellStyle name="Style 2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D19" sqref="D19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8</v>
      </c>
    </row>
    <row r="2" spans="1:7" ht="15.75" thickBot="1" x14ac:dyDescent="0.3"/>
    <row r="3" spans="1:7" x14ac:dyDescent="0.25">
      <c r="A3" s="55"/>
      <c r="B3" s="56" t="s">
        <v>12</v>
      </c>
      <c r="C3" s="57" t="s">
        <v>20</v>
      </c>
      <c r="D3" s="62"/>
      <c r="E3" s="60"/>
    </row>
    <row r="4" spans="1:7" x14ac:dyDescent="0.25">
      <c r="A4" s="159" t="s">
        <v>13</v>
      </c>
      <c r="B4" s="161"/>
      <c r="C4" s="32">
        <v>2014</v>
      </c>
      <c r="D4" s="65" t="s">
        <v>35</v>
      </c>
      <c r="E4" s="61"/>
    </row>
    <row r="5" spans="1:7" ht="15.75" thickBot="1" x14ac:dyDescent="0.3">
      <c r="A5" s="162" t="s">
        <v>18</v>
      </c>
      <c r="B5" s="163"/>
      <c r="C5" s="58">
        <v>523053</v>
      </c>
      <c r="D5" s="59">
        <f>+D13/C5</f>
        <v>10.839681638380814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32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17</v>
      </c>
      <c r="G8" s="48" t="s">
        <v>36</v>
      </c>
    </row>
    <row r="9" spans="1:7" x14ac:dyDescent="0.25">
      <c r="A9" s="38"/>
      <c r="B9" s="11"/>
      <c r="C9" s="11"/>
      <c r="D9" s="13" t="s">
        <v>11</v>
      </c>
      <c r="E9" s="25" t="s">
        <v>25</v>
      </c>
      <c r="F9" s="18" t="s">
        <v>31</v>
      </c>
      <c r="G9" s="49" t="s">
        <v>17</v>
      </c>
    </row>
    <row r="10" spans="1:7" x14ac:dyDescent="0.25">
      <c r="A10" s="159" t="s">
        <v>9</v>
      </c>
      <c r="B10" s="160"/>
      <c r="C10" s="161"/>
      <c r="D10" s="63">
        <v>2500515</v>
      </c>
      <c r="E10" s="12">
        <f>+D10/D13</f>
        <v>0.44102909345915714</v>
      </c>
      <c r="F10" s="34">
        <v>215617</v>
      </c>
      <c r="G10" s="50">
        <f>+D10/F10</f>
        <v>11.597021570655375</v>
      </c>
    </row>
    <row r="11" spans="1:7" x14ac:dyDescent="0.25">
      <c r="A11" s="159" t="s">
        <v>14</v>
      </c>
      <c r="B11" s="160"/>
      <c r="C11" s="161"/>
      <c r="D11" s="63">
        <v>2166691</v>
      </c>
      <c r="E11" s="12">
        <f>+D11/D13</f>
        <v>0.38215078395295154</v>
      </c>
      <c r="F11" s="27">
        <v>24051</v>
      </c>
      <c r="G11" s="50">
        <f>+D11/F11</f>
        <v>90.0873560350921</v>
      </c>
    </row>
    <row r="12" spans="1:7" x14ac:dyDescent="0.25">
      <c r="A12" s="159" t="s">
        <v>15</v>
      </c>
      <c r="B12" s="160"/>
      <c r="C12" s="161"/>
      <c r="D12" s="63">
        <v>1002522</v>
      </c>
      <c r="E12" s="12">
        <f>+D12/D13</f>
        <v>0.17682012258789134</v>
      </c>
      <c r="F12" s="5"/>
      <c r="G12" s="39"/>
    </row>
    <row r="13" spans="1:7" ht="15.75" thickBot="1" x14ac:dyDescent="0.3">
      <c r="A13" s="40"/>
      <c r="B13" s="164" t="s">
        <v>10</v>
      </c>
      <c r="C13" s="163"/>
      <c r="D13" s="64">
        <f>SUM(D10:D12)</f>
        <v>5669728</v>
      </c>
      <c r="E13" s="41"/>
      <c r="F13" s="42"/>
      <c r="G13" s="43"/>
    </row>
    <row r="15" spans="1:7" ht="19.5" thickBot="1" x14ac:dyDescent="0.35">
      <c r="B15" s="54" t="s">
        <v>33</v>
      </c>
    </row>
    <row r="16" spans="1:7" x14ac:dyDescent="0.25">
      <c r="A16" s="35"/>
      <c r="B16" s="36"/>
      <c r="C16" s="36"/>
      <c r="D16" s="36"/>
      <c r="E16" s="37" t="s">
        <v>26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16</v>
      </c>
      <c r="E17" s="18" t="s">
        <v>27</v>
      </c>
      <c r="F17" s="14" t="s">
        <v>6</v>
      </c>
      <c r="G17" s="39"/>
    </row>
    <row r="18" spans="1:8" ht="15.75" thickBot="1" x14ac:dyDescent="0.3">
      <c r="A18" s="159" t="s">
        <v>29</v>
      </c>
      <c r="B18" s="160"/>
      <c r="C18" s="161"/>
      <c r="D18" s="6">
        <f>+'Known Resources'!B41*0.65</f>
        <v>6692001.1047499999</v>
      </c>
      <c r="E18" s="12">
        <f>+D18/(D18+D19)</f>
        <v>1.0845431556535401</v>
      </c>
      <c r="F18" s="6">
        <f>+'Known Resources'!D41*0.65</f>
        <v>1834765.6585312204</v>
      </c>
      <c r="G18" s="39"/>
    </row>
    <row r="19" spans="1:8" ht="18" x14ac:dyDescent="0.35">
      <c r="A19" s="159" t="s">
        <v>30</v>
      </c>
      <c r="B19" s="160"/>
      <c r="C19" s="161"/>
      <c r="D19" s="51">
        <f>+('Unknown Resources'!F62)*0.65</f>
        <v>-521660.10000000003</v>
      </c>
      <c r="E19" s="52">
        <f>+D19/(D18+D19)</f>
        <v>-8.4543155653540064E-2</v>
      </c>
      <c r="F19" s="67">
        <f>+'Unknown Resources'!G62*0.65</f>
        <v>143532.93337075171</v>
      </c>
      <c r="G19" s="69" t="s">
        <v>34</v>
      </c>
    </row>
    <row r="20" spans="1:8" ht="18.75" thickBot="1" x14ac:dyDescent="0.4">
      <c r="A20" s="40"/>
      <c r="B20" s="42"/>
      <c r="C20" s="42"/>
      <c r="D20" s="66">
        <f>+C4</f>
        <v>2014</v>
      </c>
      <c r="E20" s="47" t="s">
        <v>2</v>
      </c>
      <c r="F20" s="68">
        <f>SUM(F18:F19)</f>
        <v>1978298.5919019722</v>
      </c>
      <c r="G20" s="70">
        <f>+F20/G22</f>
        <v>1.7476799842237578</v>
      </c>
    </row>
    <row r="21" spans="1:8" ht="18" x14ac:dyDescent="0.35">
      <c r="A21" t="s">
        <v>200</v>
      </c>
    </row>
    <row r="22" spans="1:8" ht="18" x14ac:dyDescent="0.35">
      <c r="F22" s="17" t="s">
        <v>24</v>
      </c>
      <c r="G22" s="27">
        <v>1131957</v>
      </c>
      <c r="H22" s="24"/>
    </row>
    <row r="24" spans="1:8" x14ac:dyDescent="0.25">
      <c r="C24" s="24" t="s">
        <v>19</v>
      </c>
      <c r="F24" s="19"/>
      <c r="G24" s="19"/>
    </row>
    <row r="25" spans="1:8" x14ac:dyDescent="0.25">
      <c r="E25" s="19"/>
      <c r="F25" s="19"/>
      <c r="G25" s="22" t="s">
        <v>23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20</v>
      </c>
      <c r="G27" s="21">
        <v>1131957</v>
      </c>
    </row>
    <row r="28" spans="1:8" x14ac:dyDescent="0.25">
      <c r="E28" s="19"/>
      <c r="F28" s="20" t="s">
        <v>21</v>
      </c>
      <c r="G28" s="21">
        <v>2399078</v>
      </c>
    </row>
    <row r="29" spans="1:8" x14ac:dyDescent="0.25">
      <c r="E29" s="19"/>
      <c r="F29" s="20" t="s">
        <v>22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"/>
  <sheetViews>
    <sheetView workbookViewId="0">
      <selection activeCell="C23" sqref="C23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</cols>
  <sheetData>
    <row r="1" spans="1:20" ht="18.75" x14ac:dyDescent="0.3">
      <c r="A1" s="3" t="s">
        <v>7</v>
      </c>
      <c r="B1" s="31">
        <f>+Summary!C4</f>
        <v>2014</v>
      </c>
    </row>
    <row r="2" spans="1:20" ht="18.75" x14ac:dyDescent="0.3">
      <c r="A2" s="3"/>
      <c r="B2" s="7" t="s">
        <v>28</v>
      </c>
      <c r="C2" s="7">
        <f>+Summary!C4</f>
        <v>2014</v>
      </c>
      <c r="D2" s="7" t="s">
        <v>3</v>
      </c>
    </row>
    <row r="3" spans="1:20" ht="19.5" x14ac:dyDescent="0.35">
      <c r="A3" s="4" t="s">
        <v>0</v>
      </c>
      <c r="B3" s="8">
        <f>+Summary!C4</f>
        <v>2014</v>
      </c>
      <c r="C3" s="8" t="s">
        <v>5</v>
      </c>
      <c r="D3" s="8" t="s">
        <v>6</v>
      </c>
      <c r="E3" s="2"/>
      <c r="F3" s="71" t="s">
        <v>51</v>
      </c>
      <c r="G3" s="72">
        <v>222</v>
      </c>
      <c r="H3" s="71" t="s">
        <v>52</v>
      </c>
      <c r="I3" s="73">
        <v>1464025</v>
      </c>
      <c r="K3" t="s">
        <v>183</v>
      </c>
      <c r="L3" t="s">
        <v>184</v>
      </c>
      <c r="M3" t="s">
        <v>185</v>
      </c>
      <c r="N3" t="s">
        <v>186</v>
      </c>
      <c r="O3" t="s">
        <v>187</v>
      </c>
      <c r="P3" t="s">
        <v>188</v>
      </c>
      <c r="Q3" t="s">
        <v>189</v>
      </c>
      <c r="R3" t="s">
        <v>192</v>
      </c>
      <c r="S3" t="s">
        <v>190</v>
      </c>
      <c r="T3" t="s">
        <v>191</v>
      </c>
    </row>
    <row r="4" spans="1:20" x14ac:dyDescent="0.25">
      <c r="A4" s="26" t="s">
        <v>37</v>
      </c>
      <c r="B4" s="27">
        <f>0.15*(R7+R8)</f>
        <v>1583639.325</v>
      </c>
      <c r="C4" s="144">
        <f>(D4*2000)/B4</f>
        <v>2125.2055061211618</v>
      </c>
      <c r="D4" s="6">
        <f>0.15*(S7+S8)</f>
        <v>1682779.5066</v>
      </c>
      <c r="F4" s="71" t="s">
        <v>53</v>
      </c>
      <c r="G4" s="72">
        <v>149</v>
      </c>
      <c r="H4" s="71" t="s">
        <v>54</v>
      </c>
      <c r="I4" s="73">
        <v>12789</v>
      </c>
      <c r="K4" t="s">
        <v>193</v>
      </c>
      <c r="L4" t="s">
        <v>201</v>
      </c>
      <c r="M4">
        <v>7456</v>
      </c>
      <c r="N4">
        <v>1</v>
      </c>
      <c r="P4">
        <v>2014</v>
      </c>
      <c r="Q4" t="s">
        <v>196</v>
      </c>
      <c r="R4">
        <v>4264.8999999999996</v>
      </c>
      <c r="S4">
        <v>2512.5940000000001</v>
      </c>
      <c r="T4">
        <v>42283.550999999999</v>
      </c>
    </row>
    <row r="5" spans="1:20" x14ac:dyDescent="0.25">
      <c r="A5" s="28" t="s">
        <v>38</v>
      </c>
      <c r="B5" s="27">
        <f>R4+R5</f>
        <v>13587.199999999999</v>
      </c>
      <c r="C5" s="144">
        <f>(D5*2000)/B5</f>
        <v>1225.6988930758359</v>
      </c>
      <c r="D5" s="6">
        <f>S4+S5</f>
        <v>8326.9079999999994</v>
      </c>
      <c r="F5" s="71" t="s">
        <v>55</v>
      </c>
      <c r="G5" s="72">
        <v>61.2</v>
      </c>
      <c r="H5" s="71" t="s">
        <v>54</v>
      </c>
      <c r="I5" s="73">
        <v>2431</v>
      </c>
      <c r="K5" t="s">
        <v>193</v>
      </c>
      <c r="L5" t="s">
        <v>201</v>
      </c>
      <c r="M5">
        <v>7456</v>
      </c>
      <c r="N5">
        <v>2</v>
      </c>
      <c r="P5">
        <v>2014</v>
      </c>
      <c r="Q5" t="s">
        <v>196</v>
      </c>
      <c r="R5">
        <v>9322.2999999999993</v>
      </c>
      <c r="S5">
        <v>5814.3140000000003</v>
      </c>
      <c r="T5">
        <v>97839.365999999995</v>
      </c>
    </row>
    <row r="6" spans="1:20" x14ac:dyDescent="0.25">
      <c r="A6" s="28" t="s">
        <v>39</v>
      </c>
      <c r="B6" s="27">
        <v>2431</v>
      </c>
      <c r="C6" s="144">
        <f t="shared" ref="C6:C9" si="0">(V29*2204.62262)/B6</f>
        <v>1455.636414763597</v>
      </c>
      <c r="D6" s="6">
        <f t="shared" ref="D6:D10" si="1">(+B6*C6)/2000</f>
        <v>1769.326062145152</v>
      </c>
      <c r="F6" s="71" t="s">
        <v>56</v>
      </c>
      <c r="G6" s="72">
        <v>24</v>
      </c>
      <c r="H6" s="71" t="s">
        <v>54</v>
      </c>
      <c r="I6" s="73">
        <v>14811</v>
      </c>
      <c r="K6" t="s">
        <v>193</v>
      </c>
      <c r="L6" t="s">
        <v>194</v>
      </c>
      <c r="M6">
        <v>55179</v>
      </c>
      <c r="N6" t="s">
        <v>195</v>
      </c>
      <c r="P6">
        <v>2014</v>
      </c>
      <c r="Q6" t="s">
        <v>196</v>
      </c>
      <c r="R6">
        <v>1219295.5</v>
      </c>
      <c r="S6">
        <v>506846.63299999997</v>
      </c>
      <c r="T6">
        <v>8528691.7180000003</v>
      </c>
    </row>
    <row r="7" spans="1:20" x14ac:dyDescent="0.25">
      <c r="A7" s="28" t="s">
        <v>40</v>
      </c>
      <c r="B7" s="27">
        <v>14811</v>
      </c>
      <c r="C7" s="144">
        <f t="shared" si="0"/>
        <v>1118.6973792512031</v>
      </c>
      <c r="D7" s="6">
        <f t="shared" si="1"/>
        <v>8284.5134420447848</v>
      </c>
      <c r="F7" s="71" t="s">
        <v>57</v>
      </c>
      <c r="G7" s="72">
        <v>278.3</v>
      </c>
      <c r="H7" s="71" t="s">
        <v>54</v>
      </c>
      <c r="I7" s="73">
        <v>1494579</v>
      </c>
      <c r="K7" t="s">
        <v>202</v>
      </c>
      <c r="L7" t="s">
        <v>203</v>
      </c>
      <c r="M7">
        <v>6076</v>
      </c>
      <c r="N7">
        <v>3</v>
      </c>
      <c r="P7">
        <v>2014</v>
      </c>
      <c r="Q7" t="s">
        <v>196</v>
      </c>
      <c r="R7">
        <v>5006380.95</v>
      </c>
      <c r="S7">
        <v>5333124.6880000001</v>
      </c>
      <c r="T7" s="146">
        <v>50849818.538999997</v>
      </c>
    </row>
    <row r="8" spans="1:20" x14ac:dyDescent="0.25">
      <c r="A8" s="28" t="s">
        <v>41</v>
      </c>
      <c r="B8" s="27">
        <f>R9</f>
        <v>1518640.29</v>
      </c>
      <c r="C8" s="144">
        <f>(D8*2000)/B8</f>
        <v>809.2825233814915</v>
      </c>
      <c r="D8" s="6">
        <f>S9</f>
        <v>614504.52300000004</v>
      </c>
      <c r="F8" s="71" t="s">
        <v>58</v>
      </c>
      <c r="G8" s="72">
        <v>6.9</v>
      </c>
      <c r="H8" s="71" t="s">
        <v>54</v>
      </c>
      <c r="I8" s="74">
        <v>4066</v>
      </c>
      <c r="K8" t="s">
        <v>202</v>
      </c>
      <c r="L8" t="s">
        <v>203</v>
      </c>
      <c r="M8">
        <v>6076</v>
      </c>
      <c r="N8">
        <v>4</v>
      </c>
      <c r="P8">
        <v>2014</v>
      </c>
      <c r="Q8" t="s">
        <v>196</v>
      </c>
      <c r="R8">
        <v>5551214.5499999998</v>
      </c>
      <c r="S8">
        <v>5885405.3559999997</v>
      </c>
      <c r="T8" s="146">
        <v>56115653.637000002</v>
      </c>
    </row>
    <row r="9" spans="1:20" x14ac:dyDescent="0.25">
      <c r="A9" s="28" t="s">
        <v>42</v>
      </c>
      <c r="B9" s="27">
        <v>4066</v>
      </c>
      <c r="C9" s="144">
        <f t="shared" si="0"/>
        <v>100.83012107663042</v>
      </c>
      <c r="D9" s="6">
        <f t="shared" si="1"/>
        <v>204.98763614878965</v>
      </c>
      <c r="F9" s="71" t="s">
        <v>59</v>
      </c>
      <c r="G9" s="75">
        <v>50</v>
      </c>
      <c r="H9" s="71" t="s">
        <v>60</v>
      </c>
      <c r="I9" s="73">
        <v>259377</v>
      </c>
      <c r="K9" t="s">
        <v>204</v>
      </c>
      <c r="L9" t="s">
        <v>205</v>
      </c>
      <c r="M9">
        <v>7350</v>
      </c>
      <c r="N9" t="s">
        <v>206</v>
      </c>
      <c r="P9">
        <v>2014</v>
      </c>
      <c r="Q9" t="s">
        <v>196</v>
      </c>
      <c r="R9">
        <v>1518640.29</v>
      </c>
      <c r="S9">
        <v>614504.52300000004</v>
      </c>
      <c r="T9" s="146">
        <v>10340215.052999999</v>
      </c>
    </row>
    <row r="10" spans="1:20" x14ac:dyDescent="0.25">
      <c r="A10" s="28" t="s">
        <v>70</v>
      </c>
      <c r="B10" s="27">
        <v>259377</v>
      </c>
      <c r="C10" s="27">
        <v>0</v>
      </c>
      <c r="D10" s="6">
        <f t="shared" si="1"/>
        <v>0</v>
      </c>
      <c r="F10" s="71" t="s">
        <v>61</v>
      </c>
      <c r="G10" s="72">
        <v>15</v>
      </c>
      <c r="H10" s="71" t="s">
        <v>62</v>
      </c>
      <c r="I10" s="73">
        <v>102775</v>
      </c>
    </row>
    <row r="11" spans="1:20" x14ac:dyDescent="0.25">
      <c r="A11" s="28" t="s">
        <v>43</v>
      </c>
      <c r="B11" s="27">
        <v>102775</v>
      </c>
      <c r="C11" s="27">
        <v>0</v>
      </c>
      <c r="D11" s="6">
        <f t="shared" ref="D11:D40" si="2">(+B11*C11)/2000</f>
        <v>0</v>
      </c>
      <c r="F11" s="71" t="s">
        <v>63</v>
      </c>
      <c r="G11" s="72">
        <v>18</v>
      </c>
      <c r="H11" s="71" t="s">
        <v>62</v>
      </c>
      <c r="I11" s="73">
        <v>83872</v>
      </c>
    </row>
    <row r="12" spans="1:20" x14ac:dyDescent="0.25">
      <c r="A12" s="28" t="s">
        <v>44</v>
      </c>
      <c r="B12" s="27">
        <v>83872</v>
      </c>
      <c r="C12" s="27">
        <v>0</v>
      </c>
      <c r="D12" s="6">
        <f t="shared" si="2"/>
        <v>0</v>
      </c>
      <c r="F12" s="71" t="s">
        <v>64</v>
      </c>
      <c r="G12" s="72">
        <v>17.600000000000001</v>
      </c>
      <c r="H12" s="71" t="s">
        <v>62</v>
      </c>
      <c r="I12" s="73">
        <v>55630</v>
      </c>
    </row>
    <row r="13" spans="1:20" x14ac:dyDescent="0.25">
      <c r="A13" s="28" t="s">
        <v>45</v>
      </c>
      <c r="B13" s="27">
        <v>55630</v>
      </c>
      <c r="C13" s="27">
        <v>0</v>
      </c>
      <c r="D13" s="6">
        <f t="shared" si="2"/>
        <v>0</v>
      </c>
      <c r="F13" s="71" t="s">
        <v>65</v>
      </c>
      <c r="G13" s="72">
        <v>34.6</v>
      </c>
      <c r="H13" s="71" t="s">
        <v>62</v>
      </c>
      <c r="I13" s="73">
        <v>195005</v>
      </c>
    </row>
    <row r="14" spans="1:20" x14ac:dyDescent="0.25">
      <c r="A14" s="28" t="s">
        <v>46</v>
      </c>
      <c r="B14" s="27">
        <v>195005</v>
      </c>
      <c r="C14" s="27">
        <v>0</v>
      </c>
      <c r="D14" s="6">
        <f t="shared" si="2"/>
        <v>0</v>
      </c>
      <c r="F14" s="71" t="s">
        <v>66</v>
      </c>
      <c r="G14" s="72">
        <v>87</v>
      </c>
      <c r="H14" s="71" t="s">
        <v>62</v>
      </c>
      <c r="I14" s="73">
        <v>476442</v>
      </c>
    </row>
    <row r="15" spans="1:20" x14ac:dyDescent="0.25">
      <c r="A15" s="28" t="s">
        <v>47</v>
      </c>
      <c r="B15" s="27">
        <v>476442</v>
      </c>
      <c r="C15" s="27">
        <v>0</v>
      </c>
      <c r="D15" s="6">
        <f t="shared" si="2"/>
        <v>0</v>
      </c>
      <c r="F15" s="71" t="s">
        <v>67</v>
      </c>
      <c r="G15" s="72">
        <v>10.199999999999999</v>
      </c>
      <c r="H15" s="71" t="s">
        <v>62</v>
      </c>
      <c r="I15" s="73">
        <v>67033</v>
      </c>
    </row>
    <row r="16" spans="1:20" x14ac:dyDescent="0.25">
      <c r="A16" s="28" t="s">
        <v>48</v>
      </c>
      <c r="B16" s="27">
        <v>67033</v>
      </c>
      <c r="C16" s="27">
        <v>0</v>
      </c>
      <c r="D16" s="6">
        <f t="shared" si="2"/>
        <v>0</v>
      </c>
      <c r="F16" s="71" t="s">
        <v>68</v>
      </c>
      <c r="G16" s="72">
        <v>254.6</v>
      </c>
      <c r="H16" s="71" t="s">
        <v>62</v>
      </c>
      <c r="I16" s="73">
        <v>1194480</v>
      </c>
    </row>
    <row r="17" spans="1:22" x14ac:dyDescent="0.25">
      <c r="A17" s="28" t="s">
        <v>49</v>
      </c>
      <c r="B17" s="27">
        <v>1194480</v>
      </c>
      <c r="C17" s="27">
        <v>0</v>
      </c>
      <c r="D17" s="6">
        <f t="shared" si="2"/>
        <v>0</v>
      </c>
      <c r="F17" s="71" t="s">
        <v>69</v>
      </c>
      <c r="G17" s="72">
        <v>562.4</v>
      </c>
      <c r="H17" s="71" t="s">
        <v>62</v>
      </c>
      <c r="I17" s="73">
        <v>1968070</v>
      </c>
    </row>
    <row r="18" spans="1:22" x14ac:dyDescent="0.25">
      <c r="A18" s="28" t="s">
        <v>50</v>
      </c>
      <c r="B18" s="27">
        <v>1968070</v>
      </c>
      <c r="C18" s="27">
        <v>0</v>
      </c>
      <c r="D18" s="6">
        <f t="shared" si="2"/>
        <v>0</v>
      </c>
    </row>
    <row r="19" spans="1:22" x14ac:dyDescent="0.25">
      <c r="A19" s="28" t="s">
        <v>173</v>
      </c>
      <c r="B19" s="27">
        <v>0</v>
      </c>
      <c r="C19" s="27">
        <v>0</v>
      </c>
      <c r="D19" s="6">
        <f t="shared" si="2"/>
        <v>0</v>
      </c>
    </row>
    <row r="20" spans="1:22" ht="15.75" x14ac:dyDescent="0.25">
      <c r="A20" s="28" t="s">
        <v>174</v>
      </c>
      <c r="B20" s="27">
        <f>277387-14444</f>
        <v>262943</v>
      </c>
      <c r="C20" s="27">
        <v>0</v>
      </c>
      <c r="D20" s="6">
        <f t="shared" si="2"/>
        <v>0</v>
      </c>
      <c r="F20" s="76" t="s">
        <v>71</v>
      </c>
      <c r="G20" s="77"/>
      <c r="H20" s="78"/>
      <c r="I20" s="78"/>
      <c r="J20" s="165" t="s">
        <v>72</v>
      </c>
      <c r="K20" s="166"/>
      <c r="L20" s="165" t="s">
        <v>73</v>
      </c>
      <c r="M20" s="167"/>
      <c r="N20" s="167"/>
      <c r="O20" s="167"/>
      <c r="P20" s="166"/>
      <c r="Q20" s="165" t="s">
        <v>74</v>
      </c>
      <c r="R20" s="167"/>
      <c r="S20" s="79" t="s">
        <v>75</v>
      </c>
      <c r="T20" s="79" t="s">
        <v>76</v>
      </c>
      <c r="U20" s="165" t="s">
        <v>77</v>
      </c>
      <c r="V20" s="166"/>
    </row>
    <row r="21" spans="1:22" ht="15.75" x14ac:dyDescent="0.25">
      <c r="A21" s="28" t="s">
        <v>175</v>
      </c>
      <c r="B21" s="27">
        <v>148</v>
      </c>
      <c r="C21" s="27">
        <v>0</v>
      </c>
      <c r="D21" s="6">
        <f t="shared" si="2"/>
        <v>0</v>
      </c>
      <c r="F21" s="80" t="s">
        <v>78</v>
      </c>
      <c r="G21" s="81">
        <v>2014</v>
      </c>
      <c r="H21" s="78"/>
      <c r="I21" s="82"/>
      <c r="J21" s="83" t="s">
        <v>79</v>
      </c>
      <c r="K21" s="83" t="s">
        <v>80</v>
      </c>
      <c r="L21" s="84" t="s">
        <v>81</v>
      </c>
      <c r="M21" s="85" t="s">
        <v>82</v>
      </c>
      <c r="N21" s="84" t="s">
        <v>83</v>
      </c>
      <c r="O21" s="84" t="s">
        <v>84</v>
      </c>
      <c r="P21" s="84" t="s">
        <v>85</v>
      </c>
      <c r="Q21" s="85" t="s">
        <v>86</v>
      </c>
      <c r="R21" s="85" t="s">
        <v>87</v>
      </c>
      <c r="S21" s="86" t="s">
        <v>88</v>
      </c>
      <c r="T21" s="86" t="s">
        <v>89</v>
      </c>
      <c r="U21" s="86" t="s">
        <v>90</v>
      </c>
      <c r="V21" s="87" t="s">
        <v>91</v>
      </c>
    </row>
    <row r="22" spans="1:22" ht="75.75" x14ac:dyDescent="0.25">
      <c r="A22" s="28" t="s">
        <v>176</v>
      </c>
      <c r="B22" s="27">
        <v>3419</v>
      </c>
      <c r="C22" s="27">
        <v>0</v>
      </c>
      <c r="D22" s="6">
        <f t="shared" si="2"/>
        <v>0</v>
      </c>
      <c r="F22" s="88"/>
      <c r="G22" s="89"/>
      <c r="H22" s="90"/>
      <c r="I22" s="91"/>
      <c r="J22" s="92" t="s">
        <v>92</v>
      </c>
      <c r="K22" s="92" t="s">
        <v>93</v>
      </c>
      <c r="L22" s="92" t="s">
        <v>94</v>
      </c>
      <c r="M22" s="92" t="s">
        <v>95</v>
      </c>
      <c r="N22" s="92" t="s">
        <v>96</v>
      </c>
      <c r="O22" s="92" t="s">
        <v>97</v>
      </c>
      <c r="P22" s="92" t="s">
        <v>98</v>
      </c>
      <c r="Q22" s="93" t="s">
        <v>99</v>
      </c>
      <c r="R22" s="93" t="s">
        <v>100</v>
      </c>
      <c r="S22" s="93" t="s">
        <v>101</v>
      </c>
      <c r="T22" s="93" t="s">
        <v>102</v>
      </c>
      <c r="U22" s="93" t="s">
        <v>103</v>
      </c>
      <c r="V22" s="94" t="s">
        <v>104</v>
      </c>
    </row>
    <row r="23" spans="1:22" ht="45" x14ac:dyDescent="0.25">
      <c r="A23" s="28" t="s">
        <v>142</v>
      </c>
      <c r="B23" s="27">
        <v>266111</v>
      </c>
      <c r="C23" s="27">
        <v>0</v>
      </c>
      <c r="D23" s="6">
        <f t="shared" si="2"/>
        <v>0</v>
      </c>
      <c r="F23" s="95"/>
      <c r="G23" s="77"/>
      <c r="H23" s="96"/>
      <c r="I23" s="82"/>
      <c r="J23" s="97"/>
      <c r="K23" s="97"/>
      <c r="L23" s="97"/>
      <c r="M23" s="97"/>
      <c r="N23" s="98" t="s">
        <v>105</v>
      </c>
      <c r="O23" s="98" t="s">
        <v>106</v>
      </c>
      <c r="P23" s="98"/>
      <c r="Q23" s="99"/>
      <c r="R23" s="99"/>
      <c r="S23" s="100"/>
      <c r="T23" s="100"/>
      <c r="U23" s="94" t="s">
        <v>107</v>
      </c>
      <c r="V23" s="101" t="s">
        <v>108</v>
      </c>
    </row>
    <row r="24" spans="1:22" x14ac:dyDescent="0.25">
      <c r="A24" s="28" t="s">
        <v>177</v>
      </c>
      <c r="B24" s="27">
        <v>9132</v>
      </c>
      <c r="C24" s="27">
        <v>0</v>
      </c>
      <c r="D24" s="6">
        <f t="shared" si="2"/>
        <v>0</v>
      </c>
      <c r="F24" s="102">
        <v>0</v>
      </c>
      <c r="G24" s="103" t="s">
        <v>109</v>
      </c>
      <c r="H24" s="104" t="s">
        <v>54</v>
      </c>
      <c r="I24" s="105">
        <v>0.5</v>
      </c>
      <c r="J24" s="106">
        <v>1000</v>
      </c>
      <c r="K24" s="107" t="s">
        <v>110</v>
      </c>
      <c r="L24" s="108">
        <v>5.0999999999999997E-2</v>
      </c>
      <c r="M24" s="109" t="s">
        <v>111</v>
      </c>
      <c r="N24" s="107" t="s">
        <v>112</v>
      </c>
      <c r="O24" s="106">
        <f>J24*L24</f>
        <v>51</v>
      </c>
      <c r="P24" s="110" t="s">
        <v>113</v>
      </c>
      <c r="Q24" s="111">
        <v>14</v>
      </c>
      <c r="R24" s="107" t="s">
        <v>114</v>
      </c>
      <c r="S24" s="112">
        <v>1</v>
      </c>
      <c r="T24" s="113">
        <v>1</v>
      </c>
      <c r="U24" s="114">
        <f>+O24*Q24*S24*T24*3.66666666666667</f>
        <v>2618.0000000000023</v>
      </c>
      <c r="V24" s="115">
        <f>U24/1000</f>
        <v>2.6180000000000021</v>
      </c>
    </row>
    <row r="25" spans="1:22" x14ac:dyDescent="0.25">
      <c r="A25" s="28" t="s">
        <v>178</v>
      </c>
      <c r="B25" s="27">
        <v>19298</v>
      </c>
      <c r="C25" s="27">
        <v>0</v>
      </c>
      <c r="D25" s="6">
        <f t="shared" si="2"/>
        <v>0</v>
      </c>
      <c r="F25" s="116" t="s">
        <v>115</v>
      </c>
      <c r="G25" s="116" t="s">
        <v>116</v>
      </c>
      <c r="H25" s="117" t="s">
        <v>117</v>
      </c>
      <c r="I25" s="117" t="s">
        <v>118</v>
      </c>
      <c r="J25" s="118"/>
      <c r="K25" s="119"/>
      <c r="L25" s="119"/>
      <c r="M25" s="119"/>
      <c r="N25" s="119"/>
      <c r="O25" s="119"/>
      <c r="P25" s="119"/>
      <c r="Q25" s="120"/>
      <c r="R25" s="121"/>
      <c r="S25" s="122"/>
      <c r="T25" s="122"/>
      <c r="U25" s="122"/>
      <c r="V25" s="119"/>
    </row>
    <row r="26" spans="1:22" ht="30" x14ac:dyDescent="0.25">
      <c r="A26" s="28" t="s">
        <v>179</v>
      </c>
      <c r="B26" s="27">
        <v>1155</v>
      </c>
      <c r="C26" s="27">
        <v>0</v>
      </c>
      <c r="D26" s="6">
        <f t="shared" si="2"/>
        <v>0</v>
      </c>
      <c r="F26" s="123">
        <v>1</v>
      </c>
      <c r="G26" s="124" t="s">
        <v>37</v>
      </c>
      <c r="H26" s="124" t="s">
        <v>52</v>
      </c>
      <c r="I26" s="125">
        <v>0.15</v>
      </c>
      <c r="J26" s="126">
        <v>925391</v>
      </c>
      <c r="K26" s="127" t="s">
        <v>119</v>
      </c>
      <c r="L26" s="128">
        <v>17.024999999999999</v>
      </c>
      <c r="M26" s="127" t="s">
        <v>120</v>
      </c>
      <c r="N26" s="127" t="s">
        <v>112</v>
      </c>
      <c r="O26" s="129">
        <f>J26*L26</f>
        <v>15754781.774999999</v>
      </c>
      <c r="P26" s="130" t="s">
        <v>121</v>
      </c>
      <c r="Q26" s="131">
        <v>93.4</v>
      </c>
      <c r="R26" s="130" t="s">
        <v>122</v>
      </c>
      <c r="S26" s="132">
        <v>0.98</v>
      </c>
      <c r="T26" s="133">
        <v>1</v>
      </c>
      <c r="U26" s="134">
        <f t="shared" ref="U26:U33" si="3">+O26*Q26*S26*T26</f>
        <v>1442066685.4292998</v>
      </c>
      <c r="V26" s="134">
        <f t="shared" ref="V26:V33" si="4">U26/1000</f>
        <v>1442066.6854292997</v>
      </c>
    </row>
    <row r="27" spans="1:22" ht="25.5" x14ac:dyDescent="0.25">
      <c r="A27" s="28" t="s">
        <v>180</v>
      </c>
      <c r="B27" s="27">
        <v>335291</v>
      </c>
      <c r="C27" s="27">
        <v>0</v>
      </c>
      <c r="D27" s="6">
        <f t="shared" si="2"/>
        <v>0</v>
      </c>
      <c r="F27" s="123">
        <f t="shared" ref="F27:F33" si="5">F26+1</f>
        <v>2</v>
      </c>
      <c r="G27" s="124" t="s">
        <v>37</v>
      </c>
      <c r="H27" s="124" t="s">
        <v>123</v>
      </c>
      <c r="I27" s="135">
        <v>0.15</v>
      </c>
      <c r="J27" s="126">
        <v>2411</v>
      </c>
      <c r="K27" s="127" t="s">
        <v>124</v>
      </c>
      <c r="L27" s="131">
        <f>140000*42/1000000</f>
        <v>5.88</v>
      </c>
      <c r="M27" s="136" t="s">
        <v>125</v>
      </c>
      <c r="N27" s="127" t="s">
        <v>112</v>
      </c>
      <c r="O27" s="129">
        <f>(J27*L27)</f>
        <v>14176.68</v>
      </c>
      <c r="P27" s="130" t="s">
        <v>121</v>
      </c>
      <c r="Q27" s="131">
        <v>73.959999999999994</v>
      </c>
      <c r="R27" s="130" t="s">
        <v>122</v>
      </c>
      <c r="S27" s="132">
        <v>0.99</v>
      </c>
      <c r="T27" s="133">
        <v>1</v>
      </c>
      <c r="U27" s="134">
        <f t="shared" si="3"/>
        <v>1038022.1802719999</v>
      </c>
      <c r="V27" s="134">
        <f t="shared" si="4"/>
        <v>1038.022180272</v>
      </c>
    </row>
    <row r="28" spans="1:22" x14ac:dyDescent="0.25">
      <c r="A28" s="28" t="s">
        <v>181</v>
      </c>
      <c r="B28" s="27">
        <v>41</v>
      </c>
      <c r="C28" s="27">
        <v>0</v>
      </c>
      <c r="D28" s="6">
        <f t="shared" si="2"/>
        <v>0</v>
      </c>
      <c r="F28" s="123">
        <f t="shared" si="5"/>
        <v>3</v>
      </c>
      <c r="G28" s="124" t="s">
        <v>126</v>
      </c>
      <c r="H28" s="124" t="s">
        <v>54</v>
      </c>
      <c r="I28" s="135">
        <v>1</v>
      </c>
      <c r="J28" s="131">
        <v>161.04599999999999</v>
      </c>
      <c r="K28" s="127" t="s">
        <v>127</v>
      </c>
      <c r="L28" s="137">
        <v>1028</v>
      </c>
      <c r="M28" s="127" t="s">
        <v>128</v>
      </c>
      <c r="N28" s="127" t="s">
        <v>112</v>
      </c>
      <c r="O28" s="129">
        <f t="shared" ref="O28:O32" si="6">J28*L28</f>
        <v>165555.288</v>
      </c>
      <c r="P28" s="130" t="s">
        <v>121</v>
      </c>
      <c r="Q28" s="131">
        <v>53.02</v>
      </c>
      <c r="R28" s="130" t="s">
        <v>122</v>
      </c>
      <c r="S28" s="132">
        <v>0.995</v>
      </c>
      <c r="T28" s="133">
        <v>1</v>
      </c>
      <c r="U28" s="134">
        <f t="shared" si="3"/>
        <v>8733852.6629112009</v>
      </c>
      <c r="V28" s="134">
        <f t="shared" si="4"/>
        <v>8733.8526629112002</v>
      </c>
    </row>
    <row r="29" spans="1:22" x14ac:dyDescent="0.25">
      <c r="A29" s="28" t="s">
        <v>156</v>
      </c>
      <c r="B29" s="27">
        <f>36952+132515+178554</f>
        <v>348021</v>
      </c>
      <c r="C29" s="27">
        <v>0</v>
      </c>
      <c r="D29" s="6">
        <f t="shared" si="2"/>
        <v>0</v>
      </c>
      <c r="F29" s="123">
        <f t="shared" si="5"/>
        <v>4</v>
      </c>
      <c r="G29" s="124" t="s">
        <v>129</v>
      </c>
      <c r="H29" s="124" t="s">
        <v>54</v>
      </c>
      <c r="I29" s="135">
        <v>1</v>
      </c>
      <c r="J29" s="131">
        <v>29.597000000000001</v>
      </c>
      <c r="K29" s="127" t="s">
        <v>127</v>
      </c>
      <c r="L29" s="137">
        <v>1028</v>
      </c>
      <c r="M29" s="127" t="s">
        <v>128</v>
      </c>
      <c r="N29" s="127" t="s">
        <v>112</v>
      </c>
      <c r="O29" s="129">
        <f t="shared" si="6"/>
        <v>30425.716</v>
      </c>
      <c r="P29" s="130" t="s">
        <v>121</v>
      </c>
      <c r="Q29" s="131">
        <v>53.02</v>
      </c>
      <c r="R29" s="130" t="s">
        <v>122</v>
      </c>
      <c r="S29" s="132">
        <v>0.995</v>
      </c>
      <c r="T29" s="133">
        <v>1</v>
      </c>
      <c r="U29" s="134">
        <f t="shared" si="3"/>
        <v>1605105.6050084</v>
      </c>
      <c r="V29" s="134">
        <f t="shared" si="4"/>
        <v>1605.1056050084001</v>
      </c>
    </row>
    <row r="30" spans="1:22" x14ac:dyDescent="0.25">
      <c r="A30" s="28" t="s">
        <v>162</v>
      </c>
      <c r="B30" s="27">
        <f>R6</f>
        <v>1219295.5</v>
      </c>
      <c r="C30" s="144">
        <f>(D30*2000)/B30</f>
        <v>831.37620535793008</v>
      </c>
      <c r="D30" s="6">
        <f>S6</f>
        <v>506846.63299999997</v>
      </c>
      <c r="F30" s="123">
        <f t="shared" si="5"/>
        <v>5</v>
      </c>
      <c r="G30" s="124" t="s">
        <v>40</v>
      </c>
      <c r="H30" s="124" t="s">
        <v>54</v>
      </c>
      <c r="I30" s="135">
        <v>1</v>
      </c>
      <c r="J30" s="131">
        <v>138.58199999999999</v>
      </c>
      <c r="K30" s="127" t="s">
        <v>127</v>
      </c>
      <c r="L30" s="137">
        <v>1028</v>
      </c>
      <c r="M30" s="127" t="s">
        <v>128</v>
      </c>
      <c r="N30" s="127" t="s">
        <v>112</v>
      </c>
      <c r="O30" s="129">
        <f t="shared" si="6"/>
        <v>142462.296</v>
      </c>
      <c r="P30" s="130" t="s">
        <v>121</v>
      </c>
      <c r="Q30" s="131">
        <v>53.02</v>
      </c>
      <c r="R30" s="130" t="s">
        <v>122</v>
      </c>
      <c r="S30" s="132">
        <v>0.995</v>
      </c>
      <c r="T30" s="133">
        <v>1</v>
      </c>
      <c r="U30" s="134">
        <f t="shared" si="3"/>
        <v>7515584.1792504005</v>
      </c>
      <c r="V30" s="134">
        <f t="shared" si="4"/>
        <v>7515.5841792504007</v>
      </c>
    </row>
    <row r="31" spans="1:22" x14ac:dyDescent="0.25">
      <c r="A31" s="28" t="s">
        <v>182</v>
      </c>
      <c r="B31" s="27">
        <v>7218</v>
      </c>
      <c r="C31" s="27">
        <v>0</v>
      </c>
      <c r="D31" s="6">
        <f t="shared" si="2"/>
        <v>0</v>
      </c>
      <c r="F31" s="123">
        <f t="shared" si="5"/>
        <v>6</v>
      </c>
      <c r="G31" s="124" t="s">
        <v>41</v>
      </c>
      <c r="H31" s="124" t="s">
        <v>54</v>
      </c>
      <c r="I31" s="135">
        <v>1</v>
      </c>
      <c r="J31" s="131">
        <v>10197.290000000001</v>
      </c>
      <c r="K31" s="127" t="s">
        <v>127</v>
      </c>
      <c r="L31" s="137">
        <v>1028</v>
      </c>
      <c r="M31" s="127" t="s">
        <v>128</v>
      </c>
      <c r="N31" s="127" t="s">
        <v>112</v>
      </c>
      <c r="O31" s="129">
        <f t="shared" si="6"/>
        <v>10482814.120000001</v>
      </c>
      <c r="P31" s="130" t="s">
        <v>121</v>
      </c>
      <c r="Q31" s="131">
        <v>53.02</v>
      </c>
      <c r="R31" s="130" t="s">
        <v>122</v>
      </c>
      <c r="S31" s="132">
        <v>0.995</v>
      </c>
      <c r="T31" s="133">
        <v>1</v>
      </c>
      <c r="U31" s="134">
        <f t="shared" si="3"/>
        <v>553019810.61918819</v>
      </c>
      <c r="V31" s="134">
        <f t="shared" si="4"/>
        <v>553019.81061918824</v>
      </c>
    </row>
    <row r="32" spans="1:22" x14ac:dyDescent="0.25">
      <c r="A32" s="28" t="s">
        <v>197</v>
      </c>
      <c r="B32" s="27">
        <v>46280</v>
      </c>
      <c r="C32" s="27">
        <v>0</v>
      </c>
      <c r="D32" s="6">
        <f t="shared" si="2"/>
        <v>0</v>
      </c>
      <c r="F32" s="123">
        <f t="shared" si="5"/>
        <v>7</v>
      </c>
      <c r="G32" s="124" t="s">
        <v>42</v>
      </c>
      <c r="H32" s="124" t="s">
        <v>54</v>
      </c>
      <c r="I32" s="135">
        <v>1</v>
      </c>
      <c r="J32" s="131">
        <v>3.4289999999999998</v>
      </c>
      <c r="K32" s="127" t="s">
        <v>127</v>
      </c>
      <c r="L32" s="137">
        <v>1028</v>
      </c>
      <c r="M32" s="127" t="s">
        <v>128</v>
      </c>
      <c r="N32" s="127" t="s">
        <v>112</v>
      </c>
      <c r="O32" s="129">
        <f t="shared" si="6"/>
        <v>3525.0119999999997</v>
      </c>
      <c r="P32" s="130" t="s">
        <v>121</v>
      </c>
      <c r="Q32" s="131">
        <v>53.02</v>
      </c>
      <c r="R32" s="130" t="s">
        <v>122</v>
      </c>
      <c r="S32" s="132">
        <v>0.995</v>
      </c>
      <c r="T32" s="133">
        <v>1</v>
      </c>
      <c r="U32" s="134">
        <f t="shared" si="3"/>
        <v>185961.6555588</v>
      </c>
      <c r="V32" s="134">
        <f t="shared" si="4"/>
        <v>185.9616555588</v>
      </c>
    </row>
    <row r="33" spans="1:22" x14ac:dyDescent="0.25">
      <c r="A33" s="28" t="s">
        <v>198</v>
      </c>
      <c r="B33" s="27">
        <v>1412</v>
      </c>
      <c r="C33" s="27">
        <v>0</v>
      </c>
      <c r="D33" s="6">
        <f t="shared" si="2"/>
        <v>0</v>
      </c>
      <c r="F33" s="123">
        <f t="shared" si="5"/>
        <v>8</v>
      </c>
      <c r="G33" s="124"/>
      <c r="H33" s="138"/>
      <c r="I33" s="135">
        <v>1</v>
      </c>
      <c r="J33" s="131"/>
      <c r="K33" s="127"/>
      <c r="L33" s="126"/>
      <c r="M33" s="127"/>
      <c r="N33" s="127"/>
      <c r="O33" s="129">
        <f>J50*L33</f>
        <v>0</v>
      </c>
      <c r="P33" s="130"/>
      <c r="Q33" s="126"/>
      <c r="R33" s="130"/>
      <c r="S33" s="139"/>
      <c r="T33" s="133"/>
      <c r="U33" s="134">
        <f t="shared" si="3"/>
        <v>0</v>
      </c>
      <c r="V33" s="134">
        <f t="shared" si="4"/>
        <v>0</v>
      </c>
    </row>
    <row r="34" spans="1:22" x14ac:dyDescent="0.25">
      <c r="A34" s="28" t="s">
        <v>199</v>
      </c>
      <c r="B34" s="27">
        <v>30311</v>
      </c>
      <c r="C34" s="27">
        <v>0</v>
      </c>
      <c r="D34" s="6">
        <f t="shared" si="2"/>
        <v>0</v>
      </c>
    </row>
    <row r="35" spans="1:22" x14ac:dyDescent="0.25">
      <c r="A35" s="28" t="s">
        <v>148</v>
      </c>
      <c r="B35" s="27">
        <v>2350</v>
      </c>
      <c r="C35" s="27"/>
      <c r="D35" s="6">
        <f t="shared" si="2"/>
        <v>0</v>
      </c>
    </row>
    <row r="36" spans="1:22" x14ac:dyDescent="0.25">
      <c r="A36" s="28" t="s">
        <v>226</v>
      </c>
      <c r="B36" s="27">
        <v>203102</v>
      </c>
      <c r="C36" s="27"/>
      <c r="D36" s="6">
        <f t="shared" si="2"/>
        <v>0</v>
      </c>
      <c r="F36" s="140"/>
      <c r="G36" s="140"/>
      <c r="H36" s="141"/>
      <c r="I36" s="142"/>
      <c r="J36" s="142"/>
      <c r="K36" s="143"/>
    </row>
    <row r="37" spans="1:22" x14ac:dyDescent="0.25">
      <c r="A37" s="28"/>
      <c r="B37" s="27"/>
      <c r="C37" s="27"/>
      <c r="D37" s="6">
        <f t="shared" si="2"/>
        <v>0</v>
      </c>
      <c r="F37" s="140"/>
      <c r="G37" s="140"/>
      <c r="H37" s="141"/>
      <c r="I37" s="142"/>
      <c r="J37" s="142"/>
      <c r="K37" s="143"/>
    </row>
    <row r="38" spans="1:22" x14ac:dyDescent="0.25">
      <c r="A38" s="28"/>
      <c r="B38" s="27"/>
      <c r="C38" s="27"/>
      <c r="D38" s="6">
        <f t="shared" si="2"/>
        <v>0</v>
      </c>
      <c r="F38" s="140"/>
      <c r="G38" s="140"/>
      <c r="H38" s="141"/>
      <c r="I38" s="142"/>
      <c r="J38" s="142"/>
      <c r="K38" s="143"/>
    </row>
    <row r="39" spans="1:22" x14ac:dyDescent="0.25">
      <c r="A39" s="28"/>
      <c r="B39" s="27"/>
      <c r="C39" s="27"/>
      <c r="D39" s="6">
        <f t="shared" si="2"/>
        <v>0</v>
      </c>
    </row>
    <row r="40" spans="1:22" ht="15.75" thickBot="1" x14ac:dyDescent="0.3">
      <c r="A40" s="29"/>
      <c r="B40" s="30"/>
      <c r="C40" s="30"/>
      <c r="D40" s="9">
        <f t="shared" si="2"/>
        <v>0</v>
      </c>
    </row>
    <row r="41" spans="1:22" ht="16.5" thickTop="1" thickBot="1" x14ac:dyDescent="0.3">
      <c r="A41" s="1"/>
      <c r="B41" s="10">
        <f>SUM(B4:B40)</f>
        <v>10295386.314999999</v>
      </c>
      <c r="C41" s="145">
        <f>(D41*2000)/B41</f>
        <v>548.34589230085419</v>
      </c>
      <c r="D41" s="10">
        <f>SUM(D4:D40)</f>
        <v>2822716.3977403389</v>
      </c>
    </row>
    <row r="43" spans="1:22" x14ac:dyDescent="0.25">
      <c r="A43" t="s">
        <v>232</v>
      </c>
    </row>
    <row r="44" spans="1:22" x14ac:dyDescent="0.25">
      <c r="A44" s="140" t="s">
        <v>231</v>
      </c>
      <c r="B44" s="140"/>
      <c r="C44" s="141"/>
      <c r="D44" s="143"/>
    </row>
    <row r="46" spans="1:22" x14ac:dyDescent="0.25">
      <c r="D46" s="143"/>
    </row>
    <row r="47" spans="1:22" x14ac:dyDescent="0.25">
      <c r="D47" s="143"/>
    </row>
    <row r="48" spans="1:22" x14ac:dyDescent="0.25">
      <c r="D48" s="143"/>
    </row>
    <row r="49" spans="4:4" x14ac:dyDescent="0.25">
      <c r="D49" s="151"/>
    </row>
  </sheetData>
  <mergeCells count="4">
    <mergeCell ref="J20:K20"/>
    <mergeCell ref="L20:P20"/>
    <mergeCell ref="Q20:R20"/>
    <mergeCell ref="U20:V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G62" sqref="G62"/>
    </sheetView>
  </sheetViews>
  <sheetFormatPr defaultRowHeight="15" x14ac:dyDescent="0.25"/>
  <cols>
    <col min="1" max="1" width="43.28515625" customWidth="1"/>
    <col min="2" max="2" width="10.140625" bestFit="1" customWidth="1"/>
    <col min="4" max="4" width="34.5703125" customWidth="1"/>
    <col min="6" max="6" width="16" bestFit="1" customWidth="1"/>
    <col min="7" max="7" width="16" style="158" bestFit="1" customWidth="1"/>
    <col min="8" max="8" width="13.28515625" bestFit="1" customWidth="1"/>
  </cols>
  <sheetData>
    <row r="1" spans="1:10" ht="32.25" thickBot="1" x14ac:dyDescent="0.3">
      <c r="A1" s="155" t="s">
        <v>227</v>
      </c>
      <c r="B1" s="153">
        <v>2014</v>
      </c>
      <c r="D1" s="147"/>
      <c r="E1" s="148"/>
    </row>
    <row r="2" spans="1:10" ht="18" x14ac:dyDescent="0.35">
      <c r="B2" s="168" t="s">
        <v>229</v>
      </c>
      <c r="C2" s="168"/>
      <c r="D2" s="168"/>
      <c r="E2" s="33">
        <v>1014</v>
      </c>
      <c r="F2" t="s">
        <v>4</v>
      </c>
    </row>
    <row r="3" spans="1:10" ht="18" x14ac:dyDescent="0.35">
      <c r="B3" s="168" t="s">
        <v>230</v>
      </c>
      <c r="C3" s="168"/>
      <c r="D3" s="168"/>
      <c r="E3" s="152">
        <f>'Known Resources'!C41</f>
        <v>548.34589230085419</v>
      </c>
      <c r="F3" t="s">
        <v>4</v>
      </c>
    </row>
    <row r="4" spans="1:10" ht="45" x14ac:dyDescent="0.25">
      <c r="A4" s="154" t="s">
        <v>207</v>
      </c>
      <c r="B4" s="154" t="s">
        <v>208</v>
      </c>
      <c r="C4" s="154"/>
      <c r="D4" s="154" t="s">
        <v>207</v>
      </c>
      <c r="E4" s="154" t="s">
        <v>209</v>
      </c>
      <c r="F4" s="156" t="s">
        <v>228</v>
      </c>
      <c r="G4" s="157" t="s">
        <v>235</v>
      </c>
      <c r="H4" s="157"/>
    </row>
    <row r="5" spans="1:10" x14ac:dyDescent="0.25">
      <c r="A5" s="140" t="s">
        <v>130</v>
      </c>
      <c r="B5" s="143">
        <v>2200</v>
      </c>
      <c r="D5" s="140"/>
      <c r="E5" s="143"/>
      <c r="F5" s="151">
        <f>B5-E5</f>
        <v>2200</v>
      </c>
      <c r="G5" s="158">
        <f>IF(F5&gt;0,F5*$E$2,F5*$E$3)</f>
        <v>2230800</v>
      </c>
    </row>
    <row r="6" spans="1:10" x14ac:dyDescent="0.25">
      <c r="A6" s="140" t="s">
        <v>210</v>
      </c>
      <c r="B6" s="143">
        <v>601428</v>
      </c>
      <c r="D6" s="149" t="s">
        <v>210</v>
      </c>
      <c r="E6" s="150">
        <v>99590</v>
      </c>
      <c r="F6" s="151">
        <f t="shared" ref="F6:F60" si="0">B6-E6</f>
        <v>501838</v>
      </c>
      <c r="G6" s="158">
        <f t="shared" ref="G6:G60" si="1">IF(F6&gt;0,F6*$E$2,F6*$E$3)</f>
        <v>508863732</v>
      </c>
    </row>
    <row r="7" spans="1:10" x14ac:dyDescent="0.25">
      <c r="A7" s="140" t="s">
        <v>131</v>
      </c>
      <c r="B7" s="143">
        <v>60256</v>
      </c>
      <c r="D7" s="149" t="s">
        <v>131</v>
      </c>
      <c r="E7" s="150">
        <v>58366</v>
      </c>
      <c r="F7" s="151">
        <f t="shared" si="0"/>
        <v>1890</v>
      </c>
      <c r="G7" s="158">
        <f t="shared" si="1"/>
        <v>1916460</v>
      </c>
    </row>
    <row r="8" spans="1:10" x14ac:dyDescent="0.25">
      <c r="A8" s="140"/>
      <c r="B8" s="143"/>
      <c r="D8" s="149" t="s">
        <v>211</v>
      </c>
      <c r="E8" s="150">
        <v>38</v>
      </c>
      <c r="F8" s="151">
        <f t="shared" si="0"/>
        <v>-38</v>
      </c>
      <c r="G8" s="158">
        <f t="shared" si="1"/>
        <v>-20837.143907432459</v>
      </c>
    </row>
    <row r="9" spans="1:10" x14ac:dyDescent="0.25">
      <c r="A9" s="140" t="s">
        <v>132</v>
      </c>
      <c r="B9" s="143">
        <v>800</v>
      </c>
      <c r="D9" s="149" t="s">
        <v>132</v>
      </c>
      <c r="E9" s="150">
        <v>1600</v>
      </c>
      <c r="F9" s="151">
        <f t="shared" si="0"/>
        <v>-800</v>
      </c>
      <c r="G9" s="158">
        <f t="shared" si="1"/>
        <v>-438676.71384068334</v>
      </c>
      <c r="J9" s="169"/>
    </row>
    <row r="10" spans="1:10" x14ac:dyDescent="0.25">
      <c r="A10" s="140"/>
      <c r="B10" s="143"/>
      <c r="D10" s="149" t="s">
        <v>212</v>
      </c>
      <c r="E10" s="150">
        <v>1600</v>
      </c>
      <c r="F10" s="151">
        <f t="shared" si="0"/>
        <v>-1600</v>
      </c>
      <c r="G10" s="158">
        <f t="shared" si="1"/>
        <v>-877353.42768136668</v>
      </c>
    </row>
    <row r="11" spans="1:10" x14ac:dyDescent="0.25">
      <c r="A11" s="140" t="s">
        <v>133</v>
      </c>
      <c r="B11" s="143">
        <v>38134</v>
      </c>
      <c r="D11" s="149" t="s">
        <v>133</v>
      </c>
      <c r="E11" s="150">
        <v>45550</v>
      </c>
      <c r="F11" s="151">
        <f t="shared" si="0"/>
        <v>-7416</v>
      </c>
      <c r="G11" s="158">
        <f t="shared" si="1"/>
        <v>-4066533.1373031349</v>
      </c>
    </row>
    <row r="12" spans="1:10" x14ac:dyDescent="0.25">
      <c r="A12" s="140" t="s">
        <v>134</v>
      </c>
      <c r="B12" s="143">
        <v>46698</v>
      </c>
      <c r="D12" s="149" t="s">
        <v>134</v>
      </c>
      <c r="E12" s="150">
        <v>188645</v>
      </c>
      <c r="F12" s="151">
        <f t="shared" si="0"/>
        <v>-141947</v>
      </c>
      <c r="G12" s="158">
        <f t="shared" si="1"/>
        <v>-77836054.374429345</v>
      </c>
    </row>
    <row r="13" spans="1:10" x14ac:dyDescent="0.25">
      <c r="A13" s="140" t="s">
        <v>135</v>
      </c>
      <c r="B13" s="143">
        <v>6065</v>
      </c>
      <c r="D13" s="149" t="s">
        <v>135</v>
      </c>
      <c r="E13" s="150">
        <v>112802</v>
      </c>
      <c r="F13" s="151">
        <f t="shared" si="0"/>
        <v>-106737</v>
      </c>
      <c r="G13" s="158">
        <f t="shared" si="1"/>
        <v>-58528795.50651627</v>
      </c>
    </row>
    <row r="14" spans="1:10" x14ac:dyDescent="0.25">
      <c r="A14" s="140" t="s">
        <v>136</v>
      </c>
      <c r="B14" s="143">
        <v>13255</v>
      </c>
      <c r="D14" s="149" t="s">
        <v>136</v>
      </c>
      <c r="E14" s="150">
        <v>15774</v>
      </c>
      <c r="F14" s="151">
        <f t="shared" si="0"/>
        <v>-2519</v>
      </c>
      <c r="G14" s="158">
        <f t="shared" si="1"/>
        <v>-1381283.3027058516</v>
      </c>
    </row>
    <row r="15" spans="1:10" x14ac:dyDescent="0.25">
      <c r="A15" s="140" t="s">
        <v>137</v>
      </c>
      <c r="B15" s="143">
        <v>486</v>
      </c>
      <c r="D15" s="149" t="s">
        <v>137</v>
      </c>
      <c r="E15" s="150">
        <v>1233</v>
      </c>
      <c r="F15" s="151">
        <f t="shared" si="0"/>
        <v>-747</v>
      </c>
      <c r="G15" s="158">
        <f t="shared" si="1"/>
        <v>-409614.38154873811</v>
      </c>
    </row>
    <row r="16" spans="1:10" x14ac:dyDescent="0.25">
      <c r="A16" s="140"/>
      <c r="B16" s="143"/>
      <c r="D16" s="149" t="s">
        <v>213</v>
      </c>
      <c r="E16" s="150">
        <v>400</v>
      </c>
      <c r="F16" s="151">
        <f t="shared" si="0"/>
        <v>-400</v>
      </c>
      <c r="G16" s="158">
        <f t="shared" si="1"/>
        <v>-219338.35692034167</v>
      </c>
    </row>
    <row r="17" spans="1:7" x14ac:dyDescent="0.25">
      <c r="A17" s="140" t="s">
        <v>138</v>
      </c>
      <c r="B17" s="143">
        <v>17000</v>
      </c>
      <c r="D17" s="149" t="s">
        <v>214</v>
      </c>
      <c r="E17" s="150">
        <v>163512</v>
      </c>
      <c r="F17" s="151">
        <f t="shared" si="0"/>
        <v>-146512</v>
      </c>
      <c r="G17" s="158">
        <f t="shared" si="1"/>
        <v>-80339253.372782752</v>
      </c>
    </row>
    <row r="18" spans="1:7" x14ac:dyDescent="0.25">
      <c r="A18" s="140" t="s">
        <v>139</v>
      </c>
      <c r="B18" s="143">
        <v>28578</v>
      </c>
      <c r="D18" s="149" t="s">
        <v>139</v>
      </c>
      <c r="E18" s="150">
        <v>29546</v>
      </c>
      <c r="F18" s="151">
        <f t="shared" si="0"/>
        <v>-968</v>
      </c>
      <c r="G18" s="158">
        <f t="shared" si="1"/>
        <v>-530798.82374722685</v>
      </c>
    </row>
    <row r="19" spans="1:7" x14ac:dyDescent="0.25">
      <c r="A19" s="140" t="s">
        <v>140</v>
      </c>
      <c r="B19" s="143">
        <v>14366</v>
      </c>
      <c r="D19" s="149" t="s">
        <v>140</v>
      </c>
      <c r="E19" s="150">
        <v>12301</v>
      </c>
      <c r="F19" s="151">
        <f t="shared" si="0"/>
        <v>2065</v>
      </c>
      <c r="G19" s="158">
        <f t="shared" si="1"/>
        <v>2093910</v>
      </c>
    </row>
    <row r="20" spans="1:7" x14ac:dyDescent="0.25">
      <c r="A20" s="140" t="s">
        <v>141</v>
      </c>
      <c r="B20" s="143">
        <v>17267</v>
      </c>
      <c r="D20" s="149" t="s">
        <v>141</v>
      </c>
      <c r="E20" s="150">
        <v>19036</v>
      </c>
      <c r="F20" s="151">
        <f t="shared" si="0"/>
        <v>-1769</v>
      </c>
      <c r="G20" s="158">
        <f t="shared" si="1"/>
        <v>-970023.88348021102</v>
      </c>
    </row>
    <row r="21" spans="1:7" x14ac:dyDescent="0.25">
      <c r="A21" s="140" t="s">
        <v>142</v>
      </c>
      <c r="B21" s="143">
        <v>16500</v>
      </c>
      <c r="D21" s="149" t="s">
        <v>142</v>
      </c>
      <c r="E21" s="150">
        <v>12393</v>
      </c>
      <c r="F21" s="151">
        <f t="shared" si="0"/>
        <v>4107</v>
      </c>
      <c r="G21" s="158">
        <f t="shared" si="1"/>
        <v>4164498</v>
      </c>
    </row>
    <row r="22" spans="1:7" x14ac:dyDescent="0.25">
      <c r="A22" s="140" t="s">
        <v>143</v>
      </c>
      <c r="B22" s="143">
        <v>6</v>
      </c>
      <c r="D22" s="149" t="s">
        <v>143</v>
      </c>
      <c r="E22" s="150">
        <v>75</v>
      </c>
      <c r="F22" s="151">
        <f t="shared" si="0"/>
        <v>-69</v>
      </c>
      <c r="G22" s="158">
        <f t="shared" si="1"/>
        <v>-37835.866568758938</v>
      </c>
    </row>
    <row r="23" spans="1:7" x14ac:dyDescent="0.25">
      <c r="A23" s="140" t="s">
        <v>144</v>
      </c>
      <c r="B23" s="143">
        <v>128229</v>
      </c>
      <c r="D23" s="149" t="s">
        <v>144</v>
      </c>
      <c r="E23" s="150">
        <v>384784</v>
      </c>
      <c r="F23" s="151">
        <f t="shared" si="0"/>
        <v>-256555</v>
      </c>
      <c r="G23" s="158">
        <f t="shared" si="1"/>
        <v>-140680880.39924565</v>
      </c>
    </row>
    <row r="24" spans="1:7" x14ac:dyDescent="0.25">
      <c r="A24" s="140" t="s">
        <v>145</v>
      </c>
      <c r="B24" s="143">
        <v>3024</v>
      </c>
      <c r="D24" s="149"/>
      <c r="E24" s="150"/>
      <c r="F24" s="151">
        <f t="shared" si="0"/>
        <v>3024</v>
      </c>
      <c r="G24" s="158">
        <f t="shared" si="1"/>
        <v>3066336</v>
      </c>
    </row>
    <row r="25" spans="1:7" x14ac:dyDescent="0.25">
      <c r="A25" s="140" t="s">
        <v>146</v>
      </c>
      <c r="B25" s="143">
        <v>335018</v>
      </c>
      <c r="D25" s="149" t="s">
        <v>146</v>
      </c>
      <c r="E25" s="150">
        <v>142262</v>
      </c>
      <c r="F25" s="151">
        <f t="shared" si="0"/>
        <v>192756</v>
      </c>
      <c r="G25" s="158">
        <f t="shared" si="1"/>
        <v>195454584</v>
      </c>
    </row>
    <row r="26" spans="1:7" x14ac:dyDescent="0.25">
      <c r="A26" s="140" t="s">
        <v>215</v>
      </c>
      <c r="B26" s="143">
        <v>65</v>
      </c>
      <c r="D26" s="149"/>
      <c r="E26" s="150"/>
      <c r="F26" s="151">
        <f t="shared" si="0"/>
        <v>65</v>
      </c>
      <c r="G26" s="158">
        <f t="shared" si="1"/>
        <v>65910</v>
      </c>
    </row>
    <row r="27" spans="1:7" x14ac:dyDescent="0.25">
      <c r="A27" s="140" t="s">
        <v>217</v>
      </c>
      <c r="B27" s="143">
        <v>5475</v>
      </c>
      <c r="D27" s="149" t="s">
        <v>216</v>
      </c>
      <c r="E27" s="150">
        <v>16512</v>
      </c>
      <c r="F27" s="151">
        <f t="shared" si="0"/>
        <v>-11037</v>
      </c>
      <c r="G27" s="158">
        <f t="shared" si="1"/>
        <v>-6052093.6133245276</v>
      </c>
    </row>
    <row r="28" spans="1:7" x14ac:dyDescent="0.25">
      <c r="A28" s="140" t="s">
        <v>147</v>
      </c>
      <c r="B28" s="143">
        <v>800</v>
      </c>
      <c r="D28" s="149" t="s">
        <v>147</v>
      </c>
      <c r="E28" s="150">
        <v>24800</v>
      </c>
      <c r="F28" s="151">
        <f t="shared" si="0"/>
        <v>-24000</v>
      </c>
      <c r="G28" s="158">
        <f t="shared" si="1"/>
        <v>-13160301.415220501</v>
      </c>
    </row>
    <row r="29" spans="1:7" x14ac:dyDescent="0.25">
      <c r="A29" s="140" t="s">
        <v>148</v>
      </c>
      <c r="B29" s="143">
        <v>701</v>
      </c>
      <c r="D29" s="149" t="s">
        <v>148</v>
      </c>
      <c r="E29" s="150">
        <v>695</v>
      </c>
      <c r="F29" s="151">
        <f t="shared" si="0"/>
        <v>6</v>
      </c>
      <c r="G29" s="158">
        <f t="shared" si="1"/>
        <v>6084</v>
      </c>
    </row>
    <row r="30" spans="1:7" x14ac:dyDescent="0.25">
      <c r="A30" s="140" t="s">
        <v>149</v>
      </c>
      <c r="B30" s="143">
        <v>33853</v>
      </c>
      <c r="D30" s="149" t="s">
        <v>149</v>
      </c>
      <c r="E30" s="150">
        <v>112678</v>
      </c>
      <c r="F30" s="151">
        <f t="shared" si="0"/>
        <v>-78825</v>
      </c>
      <c r="G30" s="158">
        <f t="shared" si="1"/>
        <v>-43223364.96061483</v>
      </c>
    </row>
    <row r="31" spans="1:7" x14ac:dyDescent="0.25">
      <c r="A31" s="140"/>
      <c r="B31" s="143"/>
      <c r="D31" s="149" t="s">
        <v>218</v>
      </c>
      <c r="E31" s="150">
        <v>7091</v>
      </c>
      <c r="F31" s="151">
        <f t="shared" si="0"/>
        <v>-7091</v>
      </c>
      <c r="G31" s="158">
        <f t="shared" si="1"/>
        <v>-3888320.722305357</v>
      </c>
    </row>
    <row r="32" spans="1:7" x14ac:dyDescent="0.25">
      <c r="A32" s="140" t="s">
        <v>150</v>
      </c>
      <c r="B32" s="143">
        <v>70688</v>
      </c>
      <c r="D32" s="149" t="s">
        <v>150</v>
      </c>
      <c r="E32" s="150">
        <v>188835</v>
      </c>
      <c r="F32" s="151">
        <f t="shared" si="0"/>
        <v>-118147</v>
      </c>
      <c r="G32" s="158">
        <f t="shared" si="1"/>
        <v>-64785422.137669019</v>
      </c>
    </row>
    <row r="33" spans="1:7" x14ac:dyDescent="0.25">
      <c r="A33" s="140"/>
      <c r="B33" s="143"/>
      <c r="D33" s="149" t="s">
        <v>219</v>
      </c>
      <c r="E33" s="150">
        <v>5912</v>
      </c>
      <c r="F33" s="151">
        <f t="shared" si="0"/>
        <v>-5912</v>
      </c>
      <c r="G33" s="158">
        <f t="shared" si="1"/>
        <v>-3241820.9152826499</v>
      </c>
    </row>
    <row r="34" spans="1:7" x14ac:dyDescent="0.25">
      <c r="A34" s="140"/>
      <c r="B34" s="143"/>
      <c r="D34" s="149" t="s">
        <v>220</v>
      </c>
      <c r="E34" s="150">
        <v>1473</v>
      </c>
      <c r="F34" s="151">
        <f t="shared" si="0"/>
        <v>-1473</v>
      </c>
      <c r="G34" s="158">
        <f t="shared" si="1"/>
        <v>-807713.49935915822</v>
      </c>
    </row>
    <row r="35" spans="1:7" x14ac:dyDescent="0.25">
      <c r="A35" s="140" t="s">
        <v>151</v>
      </c>
      <c r="B35" s="143">
        <v>40974</v>
      </c>
      <c r="D35" s="149" t="s">
        <v>151</v>
      </c>
      <c r="E35" s="150">
        <v>49934</v>
      </c>
      <c r="F35" s="151">
        <f t="shared" si="0"/>
        <v>-8960</v>
      </c>
      <c r="G35" s="158">
        <f t="shared" si="1"/>
        <v>-4913179.195015654</v>
      </c>
    </row>
    <row r="36" spans="1:7" x14ac:dyDescent="0.25">
      <c r="A36" s="140"/>
      <c r="B36" s="143"/>
      <c r="D36" s="149" t="s">
        <v>221</v>
      </c>
      <c r="E36" s="150">
        <v>963</v>
      </c>
      <c r="F36" s="151">
        <f t="shared" si="0"/>
        <v>-963</v>
      </c>
      <c r="G36" s="158">
        <f t="shared" si="1"/>
        <v>-528057.09428572259</v>
      </c>
    </row>
    <row r="37" spans="1:7" x14ac:dyDescent="0.25">
      <c r="A37" s="140" t="s">
        <v>152</v>
      </c>
      <c r="B37" s="143">
        <v>7953</v>
      </c>
      <c r="D37" s="149" t="s">
        <v>152</v>
      </c>
      <c r="E37" s="150">
        <v>127557</v>
      </c>
      <c r="F37" s="151">
        <f t="shared" si="0"/>
        <v>-119604</v>
      </c>
      <c r="G37" s="158">
        <f t="shared" si="1"/>
        <v>-65584362.102751367</v>
      </c>
    </row>
    <row r="38" spans="1:7" x14ac:dyDescent="0.25">
      <c r="A38" s="140" t="s">
        <v>153</v>
      </c>
      <c r="B38" s="143">
        <v>110504</v>
      </c>
      <c r="D38" s="149" t="s">
        <v>153</v>
      </c>
      <c r="E38" s="150">
        <v>106400</v>
      </c>
      <c r="F38" s="151">
        <f t="shared" si="0"/>
        <v>4104</v>
      </c>
      <c r="G38" s="158">
        <f t="shared" si="1"/>
        <v>4161456</v>
      </c>
    </row>
    <row r="39" spans="1:7" x14ac:dyDescent="0.25">
      <c r="A39" s="140" t="s">
        <v>154</v>
      </c>
      <c r="B39" s="143">
        <v>44415</v>
      </c>
      <c r="D39" s="149" t="s">
        <v>154</v>
      </c>
      <c r="E39" s="150">
        <v>112215</v>
      </c>
      <c r="F39" s="151">
        <f t="shared" si="0"/>
        <v>-67800</v>
      </c>
      <c r="G39" s="158">
        <f t="shared" si="1"/>
        <v>-37177851.497997917</v>
      </c>
    </row>
    <row r="40" spans="1:7" x14ac:dyDescent="0.25">
      <c r="A40" s="140" t="s">
        <v>155</v>
      </c>
      <c r="B40" s="143">
        <v>62099</v>
      </c>
      <c r="D40" s="149" t="s">
        <v>155</v>
      </c>
      <c r="E40" s="150">
        <v>258716</v>
      </c>
      <c r="F40" s="151">
        <f t="shared" si="0"/>
        <v>-196617</v>
      </c>
      <c r="G40" s="158">
        <f t="shared" si="1"/>
        <v>-107814124.30651705</v>
      </c>
    </row>
    <row r="41" spans="1:7" x14ac:dyDescent="0.25">
      <c r="A41" s="140"/>
      <c r="B41" s="143"/>
      <c r="D41" s="149" t="s">
        <v>222</v>
      </c>
      <c r="E41" s="150">
        <v>17442</v>
      </c>
      <c r="F41" s="151">
        <f t="shared" si="0"/>
        <v>-17442</v>
      </c>
      <c r="G41" s="158">
        <f t="shared" si="1"/>
        <v>-9564249.0535114985</v>
      </c>
    </row>
    <row r="42" spans="1:7" x14ac:dyDescent="0.25">
      <c r="A42" s="140" t="s">
        <v>156</v>
      </c>
      <c r="B42" s="143">
        <v>26555</v>
      </c>
      <c r="D42" s="149" t="s">
        <v>156</v>
      </c>
      <c r="E42" s="150">
        <v>16049</v>
      </c>
      <c r="F42" s="151">
        <f t="shared" si="0"/>
        <v>10506</v>
      </c>
      <c r="G42" s="158">
        <f t="shared" si="1"/>
        <v>10653084</v>
      </c>
    </row>
    <row r="43" spans="1:7" x14ac:dyDescent="0.25">
      <c r="A43" s="140" t="s">
        <v>157</v>
      </c>
      <c r="B43" s="143">
        <v>22330</v>
      </c>
      <c r="D43" s="149" t="s">
        <v>157</v>
      </c>
      <c r="E43" s="150">
        <v>14685</v>
      </c>
      <c r="F43" s="151">
        <f t="shared" si="0"/>
        <v>7645</v>
      </c>
      <c r="G43" s="158">
        <f t="shared" si="1"/>
        <v>7752030</v>
      </c>
    </row>
    <row r="44" spans="1:7" x14ac:dyDescent="0.25">
      <c r="A44" s="140"/>
      <c r="B44" s="143"/>
      <c r="D44" s="149" t="s">
        <v>158</v>
      </c>
      <c r="E44" s="150">
        <v>78865</v>
      </c>
      <c r="F44" s="151">
        <f t="shared" si="0"/>
        <v>-78865</v>
      </c>
      <c r="G44" s="158">
        <f t="shared" si="1"/>
        <v>-43245298.796306863</v>
      </c>
    </row>
    <row r="45" spans="1:7" x14ac:dyDescent="0.25">
      <c r="A45" s="140" t="s">
        <v>159</v>
      </c>
      <c r="B45" s="143">
        <v>39759</v>
      </c>
      <c r="D45" s="149" t="s">
        <v>159</v>
      </c>
      <c r="E45" s="150">
        <v>11836</v>
      </c>
      <c r="F45" s="151">
        <f t="shared" si="0"/>
        <v>27923</v>
      </c>
      <c r="G45" s="158">
        <f t="shared" si="1"/>
        <v>28313922</v>
      </c>
    </row>
    <row r="46" spans="1:7" x14ac:dyDescent="0.25">
      <c r="A46" s="140" t="s">
        <v>160</v>
      </c>
      <c r="B46" s="143">
        <v>60183</v>
      </c>
      <c r="D46" s="149" t="s">
        <v>160</v>
      </c>
      <c r="E46" s="150">
        <v>343593</v>
      </c>
      <c r="F46" s="151">
        <f t="shared" si="0"/>
        <v>-283410</v>
      </c>
      <c r="G46" s="158">
        <f t="shared" si="1"/>
        <v>-155406709.33698508</v>
      </c>
    </row>
    <row r="47" spans="1:7" x14ac:dyDescent="0.25">
      <c r="A47" s="140" t="s">
        <v>161</v>
      </c>
      <c r="B47" s="143">
        <v>24820</v>
      </c>
      <c r="D47" s="149" t="s">
        <v>161</v>
      </c>
      <c r="E47" s="150">
        <v>26354</v>
      </c>
      <c r="F47" s="151">
        <f t="shared" si="0"/>
        <v>-1534</v>
      </c>
      <c r="G47" s="158">
        <f t="shared" si="1"/>
        <v>-841162.59878951032</v>
      </c>
    </row>
    <row r="48" spans="1:7" x14ac:dyDescent="0.25">
      <c r="A48" s="140" t="s">
        <v>163</v>
      </c>
      <c r="B48" s="143">
        <v>29714</v>
      </c>
      <c r="D48" s="149" t="s">
        <v>163</v>
      </c>
      <c r="E48" s="150">
        <v>12576</v>
      </c>
      <c r="F48" s="151">
        <f t="shared" si="0"/>
        <v>17138</v>
      </c>
      <c r="G48" s="158">
        <f t="shared" si="1"/>
        <v>17377932</v>
      </c>
    </row>
    <row r="49" spans="1:8" x14ac:dyDescent="0.25">
      <c r="A49" s="140" t="s">
        <v>164</v>
      </c>
      <c r="B49" s="143">
        <v>47796</v>
      </c>
      <c r="D49" s="149" t="s">
        <v>164</v>
      </c>
      <c r="E49" s="150">
        <v>466621</v>
      </c>
      <c r="F49" s="151">
        <f t="shared" si="0"/>
        <v>-418825</v>
      </c>
      <c r="G49" s="158">
        <f t="shared" si="1"/>
        <v>-229660968.34290525</v>
      </c>
    </row>
    <row r="50" spans="1:8" x14ac:dyDescent="0.25">
      <c r="A50" s="140"/>
      <c r="B50" s="143"/>
      <c r="D50" s="149" t="s">
        <v>224</v>
      </c>
      <c r="E50" s="150">
        <v>373</v>
      </c>
      <c r="F50" s="151">
        <f t="shared" si="0"/>
        <v>-373</v>
      </c>
      <c r="G50" s="158">
        <f t="shared" si="1"/>
        <v>-204533.01782821861</v>
      </c>
    </row>
    <row r="51" spans="1:8" x14ac:dyDescent="0.25">
      <c r="A51" s="140" t="s">
        <v>165</v>
      </c>
      <c r="B51" s="143">
        <v>1600</v>
      </c>
      <c r="D51" s="149" t="s">
        <v>165</v>
      </c>
      <c r="E51" s="150">
        <v>561428</v>
      </c>
      <c r="F51" s="151">
        <f t="shared" si="0"/>
        <v>-559828</v>
      </c>
      <c r="G51" s="158">
        <f t="shared" si="1"/>
        <v>-306979384.19500262</v>
      </c>
    </row>
    <row r="52" spans="1:8" x14ac:dyDescent="0.25">
      <c r="A52" s="140" t="s">
        <v>166</v>
      </c>
      <c r="B52" s="143">
        <v>3510</v>
      </c>
      <c r="D52" s="149"/>
      <c r="E52" s="150"/>
      <c r="F52" s="151">
        <f t="shared" si="0"/>
        <v>3510</v>
      </c>
      <c r="G52" s="158">
        <f t="shared" si="1"/>
        <v>3559140</v>
      </c>
    </row>
    <row r="53" spans="1:8" x14ac:dyDescent="0.25">
      <c r="A53" s="140" t="s">
        <v>167</v>
      </c>
      <c r="B53" s="143">
        <v>6835</v>
      </c>
      <c r="D53" s="149" t="s">
        <v>167</v>
      </c>
      <c r="E53" s="150">
        <v>13274</v>
      </c>
      <c r="F53" s="151">
        <f t="shared" si="0"/>
        <v>-6439</v>
      </c>
      <c r="G53" s="158">
        <f t="shared" si="1"/>
        <v>-3530799.2005252</v>
      </c>
    </row>
    <row r="54" spans="1:8" x14ac:dyDescent="0.25">
      <c r="A54" s="140" t="s">
        <v>223</v>
      </c>
      <c r="B54" s="143">
        <v>132722</v>
      </c>
      <c r="D54" s="149"/>
      <c r="E54" s="150"/>
      <c r="F54" s="151">
        <f t="shared" si="0"/>
        <v>132722</v>
      </c>
      <c r="G54" s="158">
        <f t="shared" si="1"/>
        <v>134580108</v>
      </c>
    </row>
    <row r="55" spans="1:8" x14ac:dyDescent="0.25">
      <c r="A55" s="140" t="s">
        <v>168</v>
      </c>
      <c r="B55" s="143">
        <v>46120</v>
      </c>
      <c r="D55" s="149" t="s">
        <v>168</v>
      </c>
      <c r="E55" s="150">
        <v>13592</v>
      </c>
      <c r="F55" s="151">
        <f t="shared" si="0"/>
        <v>32528</v>
      </c>
      <c r="G55" s="158">
        <f t="shared" si="1"/>
        <v>32983392</v>
      </c>
    </row>
    <row r="56" spans="1:8" x14ac:dyDescent="0.25">
      <c r="A56" s="140" t="s">
        <v>169</v>
      </c>
      <c r="B56" s="143">
        <v>989072</v>
      </c>
      <c r="D56" s="149" t="s">
        <v>169</v>
      </c>
      <c r="E56" s="150">
        <v>45798</v>
      </c>
      <c r="F56" s="151">
        <f t="shared" si="0"/>
        <v>943274</v>
      </c>
      <c r="G56" s="158">
        <f t="shared" si="1"/>
        <v>956479836</v>
      </c>
    </row>
    <row r="57" spans="1:8" x14ac:dyDescent="0.25">
      <c r="A57" s="140" t="s">
        <v>170</v>
      </c>
      <c r="B57" s="143">
        <v>10327</v>
      </c>
      <c r="D57" s="149" t="s">
        <v>170</v>
      </c>
      <c r="E57" s="150">
        <v>4126</v>
      </c>
      <c r="F57" s="151">
        <f t="shared" si="0"/>
        <v>6201</v>
      </c>
      <c r="G57" s="158">
        <f t="shared" si="1"/>
        <v>6287814</v>
      </c>
    </row>
    <row r="58" spans="1:8" x14ac:dyDescent="0.25">
      <c r="A58" s="140" t="s">
        <v>171</v>
      </c>
      <c r="B58" s="143">
        <v>99870</v>
      </c>
      <c r="D58" s="149" t="s">
        <v>171</v>
      </c>
      <c r="E58" s="150">
        <v>119710</v>
      </c>
      <c r="F58" s="151">
        <f t="shared" si="0"/>
        <v>-19840</v>
      </c>
      <c r="G58" s="158">
        <f t="shared" si="1"/>
        <v>-10879182.503248947</v>
      </c>
    </row>
    <row r="59" spans="1:8" x14ac:dyDescent="0.25">
      <c r="A59" s="140" t="s">
        <v>172</v>
      </c>
      <c r="B59" s="143">
        <v>7</v>
      </c>
      <c r="D59" s="149" t="s">
        <v>172</v>
      </c>
      <c r="E59" s="150">
        <v>200</v>
      </c>
      <c r="F59" s="151">
        <f t="shared" si="0"/>
        <v>-193</v>
      </c>
      <c r="G59" s="158">
        <f t="shared" si="1"/>
        <v>-105830.75721406486</v>
      </c>
    </row>
    <row r="60" spans="1:8" x14ac:dyDescent="0.25">
      <c r="D60" s="149" t="s">
        <v>225</v>
      </c>
      <c r="E60" s="150">
        <v>801</v>
      </c>
      <c r="F60" s="151">
        <f t="shared" si="0"/>
        <v>-801</v>
      </c>
      <c r="G60" s="158">
        <f t="shared" si="1"/>
        <v>-439225.05973298423</v>
      </c>
    </row>
    <row r="61" spans="1:8" x14ac:dyDescent="0.25">
      <c r="B61" s="151"/>
      <c r="D61" s="149"/>
      <c r="E61" s="150"/>
    </row>
    <row r="62" spans="1:8" x14ac:dyDescent="0.25">
      <c r="E62" s="151"/>
      <c r="F62" s="151">
        <f>SUM(F5:F60)</f>
        <v>-802554</v>
      </c>
      <c r="G62" s="158">
        <f>SUM(G5:G60)/2000</f>
        <v>220819.89749346414</v>
      </c>
      <c r="H62" s="158"/>
    </row>
    <row r="63" spans="1:8" ht="45" x14ac:dyDescent="0.25">
      <c r="B63" s="152"/>
      <c r="F63" s="154" t="s">
        <v>234</v>
      </c>
      <c r="G63" s="170" t="s">
        <v>233</v>
      </c>
      <c r="H63" s="154"/>
    </row>
    <row r="65" spans="1:6" x14ac:dyDescent="0.25">
      <c r="A65" t="s">
        <v>232</v>
      </c>
    </row>
    <row r="66" spans="1:6" x14ac:dyDescent="0.25">
      <c r="A66" s="140" t="s">
        <v>231</v>
      </c>
    </row>
    <row r="74" spans="1:6" x14ac:dyDescent="0.25">
      <c r="F74" s="151"/>
    </row>
    <row r="85" spans="6:6" x14ac:dyDescent="0.25">
      <c r="F85" s="151"/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Date1 xmlns="dc463f71-b30c-4ab2-9473-d307f9d35888">2019-05-30T07:00:00+00:00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190444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B0A8EF-5035-439C-87CE-1B5848B74908}"/>
</file>

<file path=customXml/itemProps2.xml><?xml version="1.0" encoding="utf-8"?>
<ds:datastoreItem xmlns:ds="http://schemas.openxmlformats.org/officeDocument/2006/customXml" ds:itemID="{57BE1F28-303A-4833-8A05-0A33588D1988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dc463f71-b30c-4ab2-9473-d307f9d3588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1F1D2C-8679-4A62-9F87-427564B6638F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dcterms:created xsi:type="dcterms:W3CDTF">2016-02-08T23:38:12Z</dcterms:created>
  <dcterms:modified xsi:type="dcterms:W3CDTF">2018-05-30T16:48:32Z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