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drawings/drawing23.xml" ContentType="application/vnd.openxmlformats-officedocument.drawing+xml"/>
  <Override PartName="/xl/chartsheets/sheet3.xml" ContentType="application/vnd.openxmlformats-officedocument.spreadsheetml.chartsheet+xml"/>
  <Override PartName="/xl/chartsheets/sheet2.xml" ContentType="application/vnd.openxmlformats-officedocument.spreadsheetml.chartsheet+xml"/>
  <Override PartName="/xl/drawings/drawing22.xml" ContentType="application/vnd.openxmlformats-officedocument.drawing+xml"/>
  <Override PartName="/xl/drawings/drawing21.xml" ContentType="application/vnd.openxmlformats-officedocument.drawing+xml"/>
  <Override PartName="/xl/drawings/drawing20.xml" ContentType="application/vnd.openxmlformats-officedocument.drawing+xml"/>
  <Override PartName="/xl/drawings/drawing12.xml" ContentType="application/vnd.openxmlformats-officedocument.drawing+xml"/>
  <Override PartName="/xl/chartsheets/sheet1.xml" ContentType="application/vnd.openxmlformats-officedocument.spreadsheetml.chartsheet+xml"/>
  <Override PartName="/xl/drawings/drawing10.xml" ContentType="application/vnd.openxmlformats-officedocument.drawing+xml"/>
  <Override PartName="/xl/drawings/drawing9.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worksheets/sheet2.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drawings/drawing7.xml" ContentType="application/vnd.openxmlformats-officedocument.drawing+xml"/>
  <Override PartName="/xl/worksheets/sheet38.xml" ContentType="application/vnd.openxmlformats-officedocument.spreadsheetml.worksheet+xml"/>
  <Override PartName="/xl/styles.xml" ContentType="application/vnd.openxmlformats-officedocument.spreadsheetml.styles+xml"/>
  <Override PartName="/xl/worksheets/sheet40.xml" ContentType="application/vnd.openxmlformats-officedocument.spreadsheetml.worksheet+xml"/>
  <Override PartName="/xl/theme/theme1.xml" ContentType="application/vnd.openxmlformats-officedocument.theme+xml"/>
  <Override PartName="/xl/worksheets/sheet3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285" windowWidth="19080" windowHeight="5325" firstSheet="4" activeTab="5"/>
  </bookViews>
  <sheets>
    <sheet name="Chart Energy Intensity Metrics" sheetId="41" r:id="rId1"/>
    <sheet name="Chart Ratio Annual to 1990" sheetId="43" r:id="rId2"/>
    <sheet name="Chart Unknown Energy &amp; CO2" sheetId="42" r:id="rId3"/>
    <sheet name="Chart Data" sheetId="40" r:id="rId4"/>
    <sheet name="2017 Summary" sheetId="50" r:id="rId5"/>
    <sheet name="2017 Known" sheetId="44" r:id="rId6"/>
    <sheet name="2017 Unknown - Net by" sheetId="51" r:id="rId7"/>
    <sheet name="2016 Summary" sheetId="46" r:id="rId8"/>
    <sheet name="2016 Known" sheetId="48" r:id="rId9"/>
    <sheet name="2016 Unknown - Net by" sheetId="52" r:id="rId10"/>
    <sheet name="2016 Unknown" sheetId="47" r:id="rId11"/>
    <sheet name="2015 Summary" sheetId="5" r:id="rId12"/>
    <sheet name="2015 Known" sheetId="29" r:id="rId13"/>
    <sheet name="2015 Unknown" sheetId="39" r:id="rId14"/>
    <sheet name="2014 Summary" sheetId="10" r:id="rId15"/>
    <sheet name="2014 Known" sheetId="28" r:id="rId16"/>
    <sheet name="2014 Unknown" sheetId="38" r:id="rId17"/>
    <sheet name="2013 Summary" sheetId="9" r:id="rId18"/>
    <sheet name="2013 Known" sheetId="27" r:id="rId19"/>
    <sheet name="2013 Unknown" sheetId="37" r:id="rId20"/>
    <sheet name="2012 Summary" sheetId="8" r:id="rId21"/>
    <sheet name="2012 Known" sheetId="26" r:id="rId22"/>
    <sheet name="2012 Unknown" sheetId="36" r:id="rId23"/>
    <sheet name="2011 Summary" sheetId="16" r:id="rId24"/>
    <sheet name="2011 Known" sheetId="25" r:id="rId25"/>
    <sheet name="2011 Unknown" sheetId="35" r:id="rId26"/>
    <sheet name="2010 Summary" sheetId="15" r:id="rId27"/>
    <sheet name="2010 Known" sheetId="24" r:id="rId28"/>
    <sheet name="2010 Unknown" sheetId="34" r:id="rId29"/>
    <sheet name="2009 Summary" sheetId="14" r:id="rId30"/>
    <sheet name="2009 Known" sheetId="23" r:id="rId31"/>
    <sheet name="2009 Unknown" sheetId="33" r:id="rId32"/>
    <sheet name="2008 Summary" sheetId="13" r:id="rId33"/>
    <sheet name="2008 Known" sheetId="22" r:id="rId34"/>
    <sheet name="2008 Unknown" sheetId="32" r:id="rId35"/>
    <sheet name="2007 Summary" sheetId="12" r:id="rId36"/>
    <sheet name="2007 Known" sheetId="21" r:id="rId37"/>
    <sheet name="2007 Unknown" sheetId="31" r:id="rId38"/>
    <sheet name="2006 Summary" sheetId="11" r:id="rId39"/>
    <sheet name="2006 Known" sheetId="20" r:id="rId40"/>
    <sheet name="2006 Unknown" sheetId="30" r:id="rId41"/>
    <sheet name="Census Stats" sheetId="17" r:id="rId42"/>
    <sheet name="Census Stats for 2016" sheetId="49" r:id="rId4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44" l="1"/>
  <c r="C75" i="44"/>
  <c r="D79" i="51" l="1"/>
  <c r="D78" i="51"/>
  <c r="D76" i="51"/>
  <c r="D68" i="51"/>
  <c r="D67" i="51"/>
  <c r="D50" i="51"/>
  <c r="D48" i="51"/>
  <c r="D42" i="51"/>
  <c r="D41" i="51"/>
  <c r="D40" i="51"/>
  <c r="D39" i="51"/>
  <c r="D38" i="51"/>
  <c r="D33" i="51"/>
  <c r="D27" i="51"/>
  <c r="D6" i="51"/>
  <c r="D7" i="51"/>
  <c r="D8" i="51"/>
  <c r="D9" i="51"/>
  <c r="D10" i="51"/>
  <c r="D11" i="51"/>
  <c r="D12" i="51"/>
  <c r="D13" i="51"/>
  <c r="D14" i="51"/>
  <c r="D15" i="51"/>
  <c r="D16" i="51"/>
  <c r="D17" i="51"/>
  <c r="D18" i="51"/>
  <c r="D19" i="51"/>
  <c r="D20" i="51"/>
  <c r="D21" i="51"/>
  <c r="D22" i="51"/>
  <c r="D23" i="51"/>
  <c r="D24" i="51"/>
  <c r="D25" i="51"/>
  <c r="D26" i="51"/>
  <c r="D28" i="51"/>
  <c r="D29" i="51"/>
  <c r="D30" i="51"/>
  <c r="D31" i="51"/>
  <c r="D32" i="51"/>
  <c r="D34" i="51"/>
  <c r="D35" i="51"/>
  <c r="D36" i="51"/>
  <c r="D37" i="51"/>
  <c r="D43" i="51"/>
  <c r="D44" i="51"/>
  <c r="D45" i="51"/>
  <c r="D46" i="51"/>
  <c r="D47" i="51"/>
  <c r="D49" i="51"/>
  <c r="D51" i="51"/>
  <c r="D52" i="51"/>
  <c r="D53" i="51"/>
  <c r="D54" i="51"/>
  <c r="D55" i="51"/>
  <c r="D56" i="51"/>
  <c r="D57" i="51"/>
  <c r="D58" i="51"/>
  <c r="D59" i="51"/>
  <c r="D60" i="51"/>
  <c r="D61" i="51"/>
  <c r="D62" i="51"/>
  <c r="D63" i="51"/>
  <c r="D64" i="51"/>
  <c r="D65" i="51"/>
  <c r="D66" i="51"/>
  <c r="D69" i="51"/>
  <c r="D70" i="51"/>
  <c r="D71" i="51"/>
  <c r="D72" i="51"/>
  <c r="D73" i="51"/>
  <c r="D74" i="51"/>
  <c r="D75" i="51"/>
  <c r="D77" i="51"/>
  <c r="D80" i="51"/>
  <c r="E71" i="44" l="1"/>
  <c r="C73" i="44"/>
  <c r="C71" i="44"/>
  <c r="C72" i="44"/>
  <c r="F19" i="46" l="1"/>
  <c r="D80" i="52"/>
  <c r="E80" i="52" s="1"/>
  <c r="D79" i="52"/>
  <c r="E79" i="52" s="1"/>
  <c r="D78" i="52"/>
  <c r="E78" i="52" s="1"/>
  <c r="D77" i="52"/>
  <c r="E77" i="52" s="1"/>
  <c r="C82" i="52"/>
  <c r="D58" i="48"/>
  <c r="D57" i="48"/>
  <c r="D56" i="48"/>
  <c r="D55" i="48"/>
  <c r="D54" i="48"/>
  <c r="D53" i="48"/>
  <c r="D52" i="48"/>
  <c r="D51" i="48"/>
  <c r="D50" i="48"/>
  <c r="D49" i="48"/>
  <c r="D48" i="48"/>
  <c r="D47" i="48"/>
  <c r="D46" i="48"/>
  <c r="D45" i="48"/>
  <c r="D44" i="48"/>
  <c r="D43" i="48"/>
  <c r="D42" i="48"/>
  <c r="D41" i="48"/>
  <c r="D40" i="48"/>
  <c r="D39" i="48"/>
  <c r="D38" i="48"/>
  <c r="D37" i="48"/>
  <c r="D36" i="48"/>
  <c r="D35" i="48"/>
  <c r="D34" i="48"/>
  <c r="D33" i="48"/>
  <c r="D32" i="48"/>
  <c r="D31" i="48"/>
  <c r="D30" i="48"/>
  <c r="D29" i="48"/>
  <c r="D28" i="48"/>
  <c r="D27" i="48"/>
  <c r="D26" i="48"/>
  <c r="D25" i="48"/>
  <c r="D24" i="48"/>
  <c r="D23" i="48"/>
  <c r="D22" i="48"/>
  <c r="D21" i="48"/>
  <c r="D20" i="48"/>
  <c r="D19" i="48"/>
  <c r="D18" i="48"/>
  <c r="D17" i="48"/>
  <c r="D16" i="48"/>
  <c r="D15" i="48"/>
  <c r="D14" i="48"/>
  <c r="D13" i="48"/>
  <c r="D12" i="48"/>
  <c r="D11" i="48"/>
  <c r="D10" i="48"/>
  <c r="D9" i="48"/>
  <c r="D8" i="48"/>
  <c r="D7" i="48"/>
  <c r="D6" i="48"/>
  <c r="D5" i="48"/>
  <c r="D4" i="48"/>
  <c r="D72" i="52"/>
  <c r="E72" i="52" s="1"/>
  <c r="D70" i="52"/>
  <c r="E70" i="52" s="1"/>
  <c r="D69" i="52"/>
  <c r="E69" i="52" s="1"/>
  <c r="D68" i="52"/>
  <c r="E68" i="52" s="1"/>
  <c r="D67" i="52"/>
  <c r="E67" i="52" s="1"/>
  <c r="D66" i="52"/>
  <c r="E66" i="52" s="1"/>
  <c r="D64" i="52"/>
  <c r="E64" i="52" s="1"/>
  <c r="D63" i="52"/>
  <c r="E63" i="52" s="1"/>
  <c r="D56" i="52"/>
  <c r="E56" i="52" s="1"/>
  <c r="D54" i="52"/>
  <c r="E54" i="52" s="1"/>
  <c r="D48" i="52"/>
  <c r="E48" i="52" s="1"/>
  <c r="D47" i="52"/>
  <c r="E47" i="52" s="1"/>
  <c r="D41" i="52"/>
  <c r="E41" i="52" s="1"/>
  <c r="D40" i="52"/>
  <c r="E40" i="52" s="1"/>
  <c r="D39" i="52"/>
  <c r="E39" i="52" s="1"/>
  <c r="D37" i="52"/>
  <c r="E37" i="52" s="1"/>
  <c r="D32" i="52"/>
  <c r="E32" i="52" s="1"/>
  <c r="D31" i="52"/>
  <c r="E31" i="52" s="1"/>
  <c r="D24" i="52"/>
  <c r="E24" i="52" s="1"/>
  <c r="D22" i="52"/>
  <c r="E22" i="52" s="1"/>
  <c r="D20" i="52"/>
  <c r="E20" i="52" s="1"/>
  <c r="D17" i="52"/>
  <c r="E17" i="52" s="1"/>
  <c r="D16" i="52"/>
  <c r="E16" i="52" s="1"/>
  <c r="D15" i="52"/>
  <c r="E15" i="52" s="1"/>
  <c r="D14" i="52"/>
  <c r="E14" i="52" s="1"/>
  <c r="D12" i="52"/>
  <c r="E12" i="52" s="1"/>
  <c r="D11" i="52"/>
  <c r="E11" i="52" s="1"/>
  <c r="D10" i="52"/>
  <c r="E10" i="52" s="1"/>
  <c r="D9" i="52"/>
  <c r="E9" i="52" s="1"/>
  <c r="D7" i="52"/>
  <c r="E7" i="52" s="1"/>
  <c r="D6" i="52"/>
  <c r="E6" i="52" s="1"/>
  <c r="C81" i="51" l="1"/>
  <c r="D27" i="20" l="1"/>
  <c r="D30" i="21"/>
  <c r="D35" i="24"/>
  <c r="D34" i="23"/>
  <c r="D31" i="22"/>
  <c r="C5" i="50" l="1"/>
  <c r="N32" i="40" l="1"/>
  <c r="D19" i="50" l="1"/>
  <c r="N27" i="40" s="1"/>
  <c r="E78" i="51"/>
  <c r="E77" i="51"/>
  <c r="E76" i="51"/>
  <c r="E75" i="51"/>
  <c r="E72" i="51"/>
  <c r="E70" i="51"/>
  <c r="E69" i="51"/>
  <c r="E68" i="51"/>
  <c r="E67" i="51"/>
  <c r="E66" i="51"/>
  <c r="E64" i="51"/>
  <c r="E63" i="51"/>
  <c r="E61" i="51"/>
  <c r="E56" i="51"/>
  <c r="E54" i="51"/>
  <c r="E51" i="51"/>
  <c r="E49" i="51"/>
  <c r="E48" i="51"/>
  <c r="E47" i="51"/>
  <c r="E45" i="51"/>
  <c r="E41" i="51"/>
  <c r="E40" i="51"/>
  <c r="E39" i="51"/>
  <c r="E38" i="51"/>
  <c r="E37" i="51"/>
  <c r="E34" i="51"/>
  <c r="E33" i="51"/>
  <c r="E32" i="51"/>
  <c r="E31" i="51"/>
  <c r="E30" i="51"/>
  <c r="E27" i="51"/>
  <c r="E24" i="51"/>
  <c r="E22" i="51"/>
  <c r="E20" i="51"/>
  <c r="E18" i="51"/>
  <c r="E17" i="51"/>
  <c r="E16" i="51"/>
  <c r="E15" i="51"/>
  <c r="E14" i="51"/>
  <c r="E13" i="51"/>
  <c r="E12" i="51"/>
  <c r="E11" i="51"/>
  <c r="E10" i="51"/>
  <c r="E9" i="51"/>
  <c r="E7" i="51"/>
  <c r="E6" i="51"/>
  <c r="E70" i="44"/>
  <c r="C70" i="44"/>
  <c r="F11" i="50"/>
  <c r="F18" i="50" l="1"/>
  <c r="I10" i="51"/>
  <c r="D18" i="50"/>
  <c r="E19" i="50" s="1"/>
  <c r="N28" i="40" s="1"/>
  <c r="I9" i="51"/>
  <c r="G22" i="50"/>
  <c r="E18" i="50"/>
  <c r="D13" i="50"/>
  <c r="E12" i="50" s="1"/>
  <c r="G11" i="50"/>
  <c r="N16" i="40" s="1"/>
  <c r="G10" i="50"/>
  <c r="N15" i="40" s="1"/>
  <c r="I11" i="51" l="1"/>
  <c r="E74" i="51"/>
  <c r="E25" i="51"/>
  <c r="E8" i="51"/>
  <c r="E52" i="51"/>
  <c r="E44" i="51"/>
  <c r="E53" i="51"/>
  <c r="E35" i="51"/>
  <c r="E60" i="51"/>
  <c r="E21" i="51"/>
  <c r="E42" i="51"/>
  <c r="E55" i="51"/>
  <c r="E43" i="51"/>
  <c r="E80" i="51"/>
  <c r="E50" i="51"/>
  <c r="E28" i="51"/>
  <c r="E46" i="51"/>
  <c r="E71" i="51"/>
  <c r="E23" i="51"/>
  <c r="E19" i="51"/>
  <c r="E79" i="51"/>
  <c r="E62" i="51"/>
  <c r="E58" i="51"/>
  <c r="E36" i="51"/>
  <c r="E73" i="51"/>
  <c r="E59" i="51"/>
  <c r="E65" i="51"/>
  <c r="E26" i="51"/>
  <c r="E29" i="51"/>
  <c r="E11" i="50"/>
  <c r="D5" i="50"/>
  <c r="N17" i="40" s="1"/>
  <c r="E10" i="50"/>
  <c r="D19" i="46"/>
  <c r="G10" i="46"/>
  <c r="F11" i="46"/>
  <c r="G11" i="46" s="1"/>
  <c r="D11" i="46"/>
  <c r="D13" i="46" s="1"/>
  <c r="M51" i="49"/>
  <c r="M39" i="49" s="1"/>
  <c r="C5" i="46" s="1"/>
  <c r="T50" i="49"/>
  <c r="S50" i="49"/>
  <c r="R50" i="49"/>
  <c r="Q50" i="49"/>
  <c r="P50" i="49"/>
  <c r="O50" i="49"/>
  <c r="N50" i="49"/>
  <c r="M50" i="49"/>
  <c r="L50" i="49"/>
  <c r="E81" i="51" l="1"/>
  <c r="F19" i="50" s="1"/>
  <c r="E12" i="46"/>
  <c r="E10" i="46"/>
  <c r="E11" i="46"/>
  <c r="M32" i="40"/>
  <c r="M17" i="40"/>
  <c r="M16" i="40"/>
  <c r="M15" i="40"/>
  <c r="M27" i="40"/>
  <c r="B162" i="47"/>
  <c r="C159" i="47"/>
  <c r="C158" i="47"/>
  <c r="C157" i="47"/>
  <c r="C156" i="47"/>
  <c r="C155" i="47"/>
  <c r="C154" i="47"/>
  <c r="C153" i="47"/>
  <c r="D153" i="47" s="1"/>
  <c r="C152" i="47"/>
  <c r="D152" i="47" s="1"/>
  <c r="C151" i="47"/>
  <c r="D151" i="47" s="1"/>
  <c r="C150" i="47"/>
  <c r="D150" i="47" s="1"/>
  <c r="C149" i="47"/>
  <c r="D149" i="47" s="1"/>
  <c r="C148" i="47"/>
  <c r="D148" i="47" s="1"/>
  <c r="C147" i="47"/>
  <c r="D147" i="47" s="1"/>
  <c r="C146" i="47"/>
  <c r="D146" i="47" s="1"/>
  <c r="C145" i="47"/>
  <c r="D145" i="47" s="1"/>
  <c r="C144" i="47"/>
  <c r="D144" i="47" s="1"/>
  <c r="C143" i="47"/>
  <c r="D143" i="47" s="1"/>
  <c r="C142" i="47"/>
  <c r="D142" i="47" s="1"/>
  <c r="C141" i="47"/>
  <c r="D141" i="47" s="1"/>
  <c r="C140" i="47"/>
  <c r="D140" i="47" s="1"/>
  <c r="C139" i="47"/>
  <c r="D139" i="47" s="1"/>
  <c r="C138" i="47"/>
  <c r="D138" i="47" s="1"/>
  <c r="C137" i="47"/>
  <c r="D137" i="47" s="1"/>
  <c r="C136" i="47"/>
  <c r="D136" i="47" s="1"/>
  <c r="C135" i="47"/>
  <c r="D135" i="47" s="1"/>
  <c r="C134" i="47"/>
  <c r="D134" i="47" s="1"/>
  <c r="C133" i="47"/>
  <c r="D133" i="47" s="1"/>
  <c r="C132" i="47"/>
  <c r="D132" i="47" s="1"/>
  <c r="C131" i="47"/>
  <c r="D131" i="47" s="1"/>
  <c r="C130" i="47"/>
  <c r="D130" i="47" s="1"/>
  <c r="C129" i="47"/>
  <c r="D129" i="47" s="1"/>
  <c r="C128" i="47"/>
  <c r="D128" i="47" s="1"/>
  <c r="C127" i="47"/>
  <c r="D127" i="47" s="1"/>
  <c r="C126" i="47"/>
  <c r="D126" i="47" s="1"/>
  <c r="C125" i="47"/>
  <c r="D125" i="47" s="1"/>
  <c r="C124" i="47"/>
  <c r="D124" i="47" s="1"/>
  <c r="C123" i="47"/>
  <c r="D123" i="47" s="1"/>
  <c r="C122" i="47"/>
  <c r="D122" i="47" s="1"/>
  <c r="C121" i="47"/>
  <c r="D121" i="47" s="1"/>
  <c r="C120" i="47"/>
  <c r="D120" i="47" s="1"/>
  <c r="C119" i="47"/>
  <c r="D119" i="47" s="1"/>
  <c r="C118" i="47"/>
  <c r="D118" i="47" s="1"/>
  <c r="C117" i="47"/>
  <c r="D117" i="47" s="1"/>
  <c r="C116" i="47"/>
  <c r="D116" i="47" s="1"/>
  <c r="C115" i="47"/>
  <c r="D115" i="47" s="1"/>
  <c r="C114" i="47"/>
  <c r="D114" i="47" s="1"/>
  <c r="C113" i="47"/>
  <c r="D113" i="47" s="1"/>
  <c r="C112" i="47"/>
  <c r="D112" i="47" s="1"/>
  <c r="C111" i="47"/>
  <c r="D111" i="47" s="1"/>
  <c r="C110" i="47"/>
  <c r="D110" i="47" s="1"/>
  <c r="C109" i="47"/>
  <c r="D109" i="47" s="1"/>
  <c r="C108" i="47"/>
  <c r="D108" i="47" s="1"/>
  <c r="C107" i="47"/>
  <c r="D107" i="47" s="1"/>
  <c r="C106" i="47"/>
  <c r="D106" i="47" s="1"/>
  <c r="C105" i="47"/>
  <c r="D105" i="47" s="1"/>
  <c r="C104" i="47"/>
  <c r="D104" i="47" s="1"/>
  <c r="C103" i="47"/>
  <c r="D103" i="47" s="1"/>
  <c r="C102" i="47"/>
  <c r="D102" i="47" s="1"/>
  <c r="C101" i="47"/>
  <c r="D101" i="47" s="1"/>
  <c r="C100" i="47"/>
  <c r="D100" i="47" s="1"/>
  <c r="C99" i="47"/>
  <c r="D99" i="47" s="1"/>
  <c r="C98" i="47"/>
  <c r="D98" i="47" s="1"/>
  <c r="C97" i="47"/>
  <c r="D97" i="47" s="1"/>
  <c r="C96" i="47"/>
  <c r="D96" i="47" s="1"/>
  <c r="C95" i="47"/>
  <c r="D95" i="47" s="1"/>
  <c r="C94" i="47"/>
  <c r="D94" i="47" s="1"/>
  <c r="C93" i="47"/>
  <c r="D93" i="47" s="1"/>
  <c r="C92" i="47"/>
  <c r="D92" i="47" s="1"/>
  <c r="C91" i="47"/>
  <c r="D91" i="47" s="1"/>
  <c r="C90" i="47"/>
  <c r="D90" i="47" s="1"/>
  <c r="C89" i="47"/>
  <c r="D89" i="47" s="1"/>
  <c r="C88" i="47"/>
  <c r="D88" i="47" s="1"/>
  <c r="C87" i="47"/>
  <c r="D87" i="47" s="1"/>
  <c r="C86" i="47"/>
  <c r="D86" i="47" s="1"/>
  <c r="C85" i="47"/>
  <c r="D85" i="47" s="1"/>
  <c r="C84" i="47"/>
  <c r="D84" i="47" s="1"/>
  <c r="C83" i="47"/>
  <c r="D83" i="47" s="1"/>
  <c r="C82" i="47"/>
  <c r="D82" i="47" s="1"/>
  <c r="C81" i="47"/>
  <c r="D81" i="47" s="1"/>
  <c r="C80" i="47"/>
  <c r="D80" i="47" s="1"/>
  <c r="C79" i="47"/>
  <c r="D79" i="47" s="1"/>
  <c r="C78" i="47"/>
  <c r="D78" i="47" s="1"/>
  <c r="C77" i="47"/>
  <c r="D77" i="47" s="1"/>
  <c r="C76" i="47"/>
  <c r="D76" i="47" s="1"/>
  <c r="C75" i="47"/>
  <c r="D75" i="47" s="1"/>
  <c r="C74" i="47"/>
  <c r="D74" i="47" s="1"/>
  <c r="C73" i="47"/>
  <c r="D73" i="47" s="1"/>
  <c r="C72" i="47"/>
  <c r="D72" i="47" s="1"/>
  <c r="C71" i="47"/>
  <c r="D71" i="47" s="1"/>
  <c r="C70" i="47"/>
  <c r="D70" i="47" s="1"/>
  <c r="C69" i="47"/>
  <c r="D69" i="47" s="1"/>
  <c r="C68" i="47"/>
  <c r="D68" i="47" s="1"/>
  <c r="C67" i="47"/>
  <c r="D67" i="47" s="1"/>
  <c r="C66" i="47"/>
  <c r="D66" i="47" s="1"/>
  <c r="C65" i="47"/>
  <c r="D65" i="47" s="1"/>
  <c r="C64" i="47"/>
  <c r="D64" i="47" s="1"/>
  <c r="C63" i="47"/>
  <c r="D63" i="47" s="1"/>
  <c r="C62" i="47"/>
  <c r="D62" i="47" s="1"/>
  <c r="C61" i="47"/>
  <c r="D61" i="47" s="1"/>
  <c r="C60" i="47"/>
  <c r="D60" i="47" s="1"/>
  <c r="C59" i="47"/>
  <c r="D59" i="47" s="1"/>
  <c r="C58" i="47"/>
  <c r="D58" i="47" s="1"/>
  <c r="C57" i="47"/>
  <c r="D57" i="47" s="1"/>
  <c r="C56" i="47"/>
  <c r="D56" i="47" s="1"/>
  <c r="C55" i="47"/>
  <c r="D55" i="47" s="1"/>
  <c r="C54" i="47"/>
  <c r="D54" i="47" s="1"/>
  <c r="C53" i="47"/>
  <c r="D53" i="47" s="1"/>
  <c r="C52" i="47"/>
  <c r="D52" i="47" s="1"/>
  <c r="C51" i="47"/>
  <c r="D51" i="47" s="1"/>
  <c r="C50" i="47"/>
  <c r="D50" i="47" s="1"/>
  <c r="C49" i="47"/>
  <c r="D49" i="47" s="1"/>
  <c r="C48" i="47"/>
  <c r="D48" i="47" s="1"/>
  <c r="C47" i="47"/>
  <c r="D47" i="47" s="1"/>
  <c r="C46" i="47"/>
  <c r="D46" i="47" s="1"/>
  <c r="C45" i="47"/>
  <c r="D45" i="47" s="1"/>
  <c r="C44" i="47"/>
  <c r="D44" i="47" s="1"/>
  <c r="C43" i="47"/>
  <c r="D43" i="47" s="1"/>
  <c r="C42" i="47"/>
  <c r="D42" i="47" s="1"/>
  <c r="C41" i="47"/>
  <c r="D41" i="47" s="1"/>
  <c r="C40" i="47"/>
  <c r="D40" i="47" s="1"/>
  <c r="C39" i="47"/>
  <c r="D39" i="47" s="1"/>
  <c r="C38" i="47"/>
  <c r="D38" i="47" s="1"/>
  <c r="C37" i="47"/>
  <c r="D37" i="47" s="1"/>
  <c r="C36" i="47"/>
  <c r="D36" i="47" s="1"/>
  <c r="C35" i="47"/>
  <c r="D35" i="47" s="1"/>
  <c r="C34" i="47"/>
  <c r="D34" i="47" s="1"/>
  <c r="C33" i="47"/>
  <c r="D33" i="47" s="1"/>
  <c r="C32" i="47"/>
  <c r="D32" i="47" s="1"/>
  <c r="C31" i="47"/>
  <c r="D31" i="47" s="1"/>
  <c r="C30" i="47"/>
  <c r="D30" i="47" s="1"/>
  <c r="C29" i="47"/>
  <c r="D29" i="47" s="1"/>
  <c r="C28" i="47"/>
  <c r="D28" i="47" s="1"/>
  <c r="C27" i="47"/>
  <c r="D27" i="47" s="1"/>
  <c r="C26" i="47"/>
  <c r="D26" i="47" s="1"/>
  <c r="C25" i="47"/>
  <c r="D25" i="47" s="1"/>
  <c r="C24" i="47"/>
  <c r="D24" i="47" s="1"/>
  <c r="C23" i="47"/>
  <c r="D23" i="47" s="1"/>
  <c r="C22" i="47"/>
  <c r="D22" i="47" s="1"/>
  <c r="C21" i="47"/>
  <c r="D21" i="47" s="1"/>
  <c r="C20" i="47"/>
  <c r="D20" i="47" s="1"/>
  <c r="C19" i="47"/>
  <c r="D19" i="47" s="1"/>
  <c r="C18" i="47"/>
  <c r="D18" i="47" s="1"/>
  <c r="C17" i="47"/>
  <c r="D17" i="47" s="1"/>
  <c r="C16" i="47"/>
  <c r="D16" i="47" s="1"/>
  <c r="C15" i="47"/>
  <c r="D15" i="47" s="1"/>
  <c r="C14" i="47"/>
  <c r="D14" i="47" s="1"/>
  <c r="C13" i="47"/>
  <c r="D13" i="47" s="1"/>
  <c r="C12" i="47"/>
  <c r="D12" i="47" s="1"/>
  <c r="C11" i="47"/>
  <c r="D11" i="47" s="1"/>
  <c r="C10" i="47"/>
  <c r="D10" i="47" s="1"/>
  <c r="C9" i="47"/>
  <c r="D9" i="47" s="1"/>
  <c r="C8" i="47"/>
  <c r="D8" i="47" s="1"/>
  <c r="C7" i="47"/>
  <c r="D7" i="47" s="1"/>
  <c r="C6" i="47"/>
  <c r="D6" i="47" s="1"/>
  <c r="C5" i="47"/>
  <c r="D5" i="47" s="1"/>
  <c r="C4" i="47"/>
  <c r="D4" i="47" s="1"/>
  <c r="D59" i="48"/>
  <c r="I10" i="52" s="1"/>
  <c r="B59" i="48"/>
  <c r="G22" i="46"/>
  <c r="D20" i="46"/>
  <c r="D5" i="46"/>
  <c r="N26" i="40" l="1"/>
  <c r="F20" i="50"/>
  <c r="G20" i="50" s="1"/>
  <c r="N21" i="40" s="1"/>
  <c r="F18" i="46"/>
  <c r="I9" i="52"/>
  <c r="I11" i="52" s="1"/>
  <c r="D18" i="46"/>
  <c r="C160" i="47"/>
  <c r="D162" i="47" s="1"/>
  <c r="B111" i="39"/>
  <c r="C111" i="39" s="1"/>
  <c r="D111" i="39" s="1"/>
  <c r="D49" i="29"/>
  <c r="D76" i="52" l="1"/>
  <c r="E76" i="52" s="1"/>
  <c r="D81" i="52"/>
  <c r="E81" i="52" s="1"/>
  <c r="D34" i="52"/>
  <c r="E34" i="52" s="1"/>
  <c r="D30" i="52"/>
  <c r="E30" i="52" s="1"/>
  <c r="D33" i="52"/>
  <c r="E33" i="52" s="1"/>
  <c r="D27" i="52"/>
  <c r="E27" i="52" s="1"/>
  <c r="D18" i="52"/>
  <c r="E18" i="52" s="1"/>
  <c r="D75" i="52"/>
  <c r="E75" i="52" s="1"/>
  <c r="D51" i="52"/>
  <c r="E51" i="52" s="1"/>
  <c r="D45" i="52"/>
  <c r="E45" i="52" s="1"/>
  <c r="D38" i="52"/>
  <c r="E38" i="52" s="1"/>
  <c r="D13" i="52"/>
  <c r="E13" i="52" s="1"/>
  <c r="D61" i="52"/>
  <c r="E61" i="52" s="1"/>
  <c r="D49" i="52"/>
  <c r="E49" i="52" s="1"/>
  <c r="D57" i="52"/>
  <c r="D21" i="52"/>
  <c r="E21" i="52" s="1"/>
  <c r="D26" i="52"/>
  <c r="E26" i="52" s="1"/>
  <c r="D25" i="52"/>
  <c r="E25" i="52" s="1"/>
  <c r="D29" i="52"/>
  <c r="E29" i="52" s="1"/>
  <c r="D62" i="52"/>
  <c r="E62" i="52" s="1"/>
  <c r="D28" i="52"/>
  <c r="E28" i="52" s="1"/>
  <c r="D46" i="52"/>
  <c r="E46" i="52" s="1"/>
  <c r="D59" i="52"/>
  <c r="E59" i="52" s="1"/>
  <c r="D35" i="52"/>
  <c r="E35" i="52" s="1"/>
  <c r="D43" i="52"/>
  <c r="E43" i="52" s="1"/>
  <c r="D74" i="52"/>
  <c r="E74" i="52" s="1"/>
  <c r="D36" i="52"/>
  <c r="E36" i="52" s="1"/>
  <c r="D50" i="52"/>
  <c r="E50" i="52" s="1"/>
  <c r="D65" i="52"/>
  <c r="E65" i="52" s="1"/>
  <c r="D53" i="52"/>
  <c r="E53" i="52" s="1"/>
  <c r="D19" i="52"/>
  <c r="E19" i="52" s="1"/>
  <c r="D58" i="52"/>
  <c r="E58" i="52" s="1"/>
  <c r="D42" i="52"/>
  <c r="E42" i="52" s="1"/>
  <c r="D52" i="52"/>
  <c r="E52" i="52" s="1"/>
  <c r="D71" i="52"/>
  <c r="E71" i="52" s="1"/>
  <c r="D55" i="52"/>
  <c r="E55" i="52" s="1"/>
  <c r="D23" i="52"/>
  <c r="E23" i="52" s="1"/>
  <c r="D60" i="52"/>
  <c r="E60" i="52" s="1"/>
  <c r="D44" i="52"/>
  <c r="E44" i="52" s="1"/>
  <c r="D8" i="52"/>
  <c r="E8" i="52" s="1"/>
  <c r="D73" i="52"/>
  <c r="E73" i="52" s="1"/>
  <c r="E18" i="46"/>
  <c r="E19" i="46"/>
  <c r="M28" i="40" s="1"/>
  <c r="M26" i="40"/>
  <c r="F20" i="46"/>
  <c r="G20" i="46" s="1"/>
  <c r="M21" i="40" s="1"/>
  <c r="C110" i="39"/>
  <c r="D110" i="39" s="1"/>
  <c r="C109" i="39"/>
  <c r="D109" i="39" s="1"/>
  <c r="C108" i="39"/>
  <c r="D108" i="39" s="1"/>
  <c r="C107" i="39"/>
  <c r="D107" i="39" s="1"/>
  <c r="C106" i="39"/>
  <c r="D106" i="39" s="1"/>
  <c r="C105" i="39"/>
  <c r="D105" i="39" s="1"/>
  <c r="C104" i="39"/>
  <c r="D104" i="39" s="1"/>
  <c r="C103" i="39"/>
  <c r="D103" i="39" s="1"/>
  <c r="C102" i="39"/>
  <c r="D102" i="39" s="1"/>
  <c r="C101" i="39"/>
  <c r="D101" i="39" s="1"/>
  <c r="C100" i="39"/>
  <c r="D100" i="39" s="1"/>
  <c r="C99" i="39"/>
  <c r="D99" i="39" s="1"/>
  <c r="C98" i="39"/>
  <c r="D98" i="39" s="1"/>
  <c r="C97" i="39"/>
  <c r="D97" i="39" s="1"/>
  <c r="C96" i="39"/>
  <c r="D96" i="39" s="1"/>
  <c r="C95" i="39"/>
  <c r="D95" i="39" s="1"/>
  <c r="C94" i="39"/>
  <c r="D94" i="39" s="1"/>
  <c r="C93" i="39"/>
  <c r="D93" i="39" s="1"/>
  <c r="C92" i="39"/>
  <c r="D92" i="39" s="1"/>
  <c r="C91" i="39"/>
  <c r="D91" i="39" s="1"/>
  <c r="C90" i="39"/>
  <c r="D90" i="39" s="1"/>
  <c r="C89" i="39"/>
  <c r="D89" i="39" s="1"/>
  <c r="C88" i="39"/>
  <c r="D88" i="39" s="1"/>
  <c r="C87" i="39"/>
  <c r="D87" i="39" s="1"/>
  <c r="C86" i="39"/>
  <c r="D86" i="39" s="1"/>
  <c r="C85" i="39"/>
  <c r="D85" i="39" s="1"/>
  <c r="C84" i="39"/>
  <c r="D84" i="39" s="1"/>
  <c r="C83" i="39"/>
  <c r="D83" i="39" s="1"/>
  <c r="C82" i="39"/>
  <c r="D82" i="39" s="1"/>
  <c r="C81" i="39"/>
  <c r="D81" i="39" s="1"/>
  <c r="C80" i="39"/>
  <c r="D80" i="39" s="1"/>
  <c r="C79" i="39"/>
  <c r="D79" i="39" s="1"/>
  <c r="C78" i="39"/>
  <c r="D78" i="39" s="1"/>
  <c r="C77" i="39"/>
  <c r="D77" i="39" s="1"/>
  <c r="C76" i="39"/>
  <c r="D76" i="39" s="1"/>
  <c r="C75" i="39"/>
  <c r="D75" i="39" s="1"/>
  <c r="C74" i="39"/>
  <c r="D74" i="39" s="1"/>
  <c r="C73" i="39"/>
  <c r="D73" i="39" s="1"/>
  <c r="C72" i="39"/>
  <c r="D72" i="39" s="1"/>
  <c r="C71" i="39"/>
  <c r="D71" i="39" s="1"/>
  <c r="C70" i="39"/>
  <c r="D70" i="39" s="1"/>
  <c r="C69" i="39"/>
  <c r="D69" i="39" s="1"/>
  <c r="C68" i="39"/>
  <c r="D68" i="39" s="1"/>
  <c r="C67" i="39"/>
  <c r="D67" i="39" s="1"/>
  <c r="C66" i="39"/>
  <c r="D66" i="39" s="1"/>
  <c r="C65" i="39"/>
  <c r="D65" i="39" s="1"/>
  <c r="C64" i="39"/>
  <c r="D64" i="39" s="1"/>
  <c r="C63" i="39"/>
  <c r="D63" i="39" s="1"/>
  <c r="C62" i="39"/>
  <c r="D62" i="39" s="1"/>
  <c r="C61" i="39"/>
  <c r="D61" i="39" s="1"/>
  <c r="C60" i="39"/>
  <c r="D60" i="39" s="1"/>
  <c r="C59" i="39"/>
  <c r="D59" i="39" s="1"/>
  <c r="C58" i="39"/>
  <c r="D58" i="39" s="1"/>
  <c r="C57" i="39"/>
  <c r="D57" i="39" s="1"/>
  <c r="C56" i="39"/>
  <c r="D56" i="39" s="1"/>
  <c r="C55" i="39"/>
  <c r="D55" i="39" s="1"/>
  <c r="C54" i="39"/>
  <c r="D54" i="39" s="1"/>
  <c r="C53" i="39"/>
  <c r="D53" i="39" s="1"/>
  <c r="C52" i="39"/>
  <c r="D52" i="39" s="1"/>
  <c r="C51" i="39"/>
  <c r="D51" i="39" s="1"/>
  <c r="C50" i="39"/>
  <c r="D50" i="39" s="1"/>
  <c r="C49" i="39"/>
  <c r="D49" i="39" s="1"/>
  <c r="C48" i="39"/>
  <c r="D48" i="39" s="1"/>
  <c r="C47" i="39"/>
  <c r="D47" i="39" s="1"/>
  <c r="C46" i="39"/>
  <c r="D46" i="39" s="1"/>
  <c r="C45" i="39"/>
  <c r="D45" i="39" s="1"/>
  <c r="C44" i="39"/>
  <c r="D44" i="39" s="1"/>
  <c r="C43" i="39"/>
  <c r="D43" i="39" s="1"/>
  <c r="C42" i="39"/>
  <c r="D42" i="39" s="1"/>
  <c r="C41" i="39"/>
  <c r="D41" i="39" s="1"/>
  <c r="C40" i="39"/>
  <c r="D40" i="39" s="1"/>
  <c r="C39" i="39"/>
  <c r="D39" i="39" s="1"/>
  <c r="C38" i="39"/>
  <c r="D38" i="39" s="1"/>
  <c r="C37" i="39"/>
  <c r="D37" i="39" s="1"/>
  <c r="C36" i="39"/>
  <c r="D36" i="39" s="1"/>
  <c r="C35" i="39"/>
  <c r="D35" i="39" s="1"/>
  <c r="C34" i="39"/>
  <c r="D34" i="39" s="1"/>
  <c r="C33" i="39"/>
  <c r="D33" i="39" s="1"/>
  <c r="C32" i="39"/>
  <c r="D32" i="39" s="1"/>
  <c r="C31" i="39"/>
  <c r="D31" i="39" s="1"/>
  <c r="C30" i="39"/>
  <c r="D30" i="39" s="1"/>
  <c r="C29" i="39"/>
  <c r="D29" i="39" s="1"/>
  <c r="C28" i="39"/>
  <c r="D28" i="39" s="1"/>
  <c r="C27" i="39"/>
  <c r="D27" i="39" s="1"/>
  <c r="C26" i="39"/>
  <c r="D26" i="39" s="1"/>
  <c r="C25" i="39"/>
  <c r="D25" i="39" s="1"/>
  <c r="C24" i="39"/>
  <c r="D24" i="39" s="1"/>
  <c r="C23" i="39"/>
  <c r="D23" i="39" s="1"/>
  <c r="C22" i="39"/>
  <c r="D22" i="39" s="1"/>
  <c r="C21" i="39"/>
  <c r="D21" i="39" s="1"/>
  <c r="C20" i="39"/>
  <c r="D20" i="39" s="1"/>
  <c r="C19" i="39"/>
  <c r="D19" i="39" s="1"/>
  <c r="C18" i="39"/>
  <c r="D18" i="39" s="1"/>
  <c r="C17" i="39"/>
  <c r="D17" i="39" s="1"/>
  <c r="C16" i="39"/>
  <c r="D16" i="39" s="1"/>
  <c r="C15" i="39"/>
  <c r="D15" i="39" s="1"/>
  <c r="C14" i="39"/>
  <c r="D14" i="39" s="1"/>
  <c r="C13" i="39"/>
  <c r="D13" i="39" s="1"/>
  <c r="C12" i="39"/>
  <c r="D12" i="39" s="1"/>
  <c r="C11" i="39"/>
  <c r="D11" i="39" s="1"/>
  <c r="C10" i="39"/>
  <c r="D10" i="39" s="1"/>
  <c r="C9" i="39"/>
  <c r="D9" i="39" s="1"/>
  <c r="C8" i="39"/>
  <c r="D8" i="39" s="1"/>
  <c r="C7" i="39"/>
  <c r="D7" i="39" s="1"/>
  <c r="C6" i="39"/>
  <c r="D6" i="39" s="1"/>
  <c r="C5" i="39"/>
  <c r="D5" i="39" s="1"/>
  <c r="C4" i="39"/>
  <c r="D4" i="39" s="1"/>
  <c r="C110" i="38"/>
  <c r="D110" i="38" s="1"/>
  <c r="C109" i="38"/>
  <c r="D109" i="38" s="1"/>
  <c r="C108" i="38"/>
  <c r="D108" i="38" s="1"/>
  <c r="C107" i="38"/>
  <c r="D107" i="38" s="1"/>
  <c r="C106" i="38"/>
  <c r="D106" i="38" s="1"/>
  <c r="C105" i="38"/>
  <c r="D105" i="38" s="1"/>
  <c r="C104" i="38"/>
  <c r="D104" i="38" s="1"/>
  <c r="C103" i="38"/>
  <c r="D103" i="38" s="1"/>
  <c r="C102" i="38"/>
  <c r="D102" i="38" s="1"/>
  <c r="C101" i="38"/>
  <c r="D101" i="38" s="1"/>
  <c r="C100" i="38"/>
  <c r="D100" i="38" s="1"/>
  <c r="C99" i="38"/>
  <c r="D99" i="38" s="1"/>
  <c r="C98" i="38"/>
  <c r="D98" i="38" s="1"/>
  <c r="C97" i="38"/>
  <c r="D97" i="38" s="1"/>
  <c r="D96" i="38"/>
  <c r="C96" i="38"/>
  <c r="C95" i="38"/>
  <c r="D95" i="38" s="1"/>
  <c r="C94" i="38"/>
  <c r="D94" i="38" s="1"/>
  <c r="C93" i="38"/>
  <c r="D93" i="38" s="1"/>
  <c r="C92" i="38"/>
  <c r="D92" i="38" s="1"/>
  <c r="C91" i="38"/>
  <c r="D91" i="38" s="1"/>
  <c r="C90" i="38"/>
  <c r="D90" i="38" s="1"/>
  <c r="C89" i="38"/>
  <c r="D89" i="38" s="1"/>
  <c r="C88" i="38"/>
  <c r="D88" i="38" s="1"/>
  <c r="C87" i="38"/>
  <c r="D87" i="38" s="1"/>
  <c r="C86" i="38"/>
  <c r="D86" i="38" s="1"/>
  <c r="C85" i="38"/>
  <c r="D85" i="38" s="1"/>
  <c r="C84" i="38"/>
  <c r="D84" i="38" s="1"/>
  <c r="C83" i="38"/>
  <c r="D83" i="38" s="1"/>
  <c r="C82" i="38"/>
  <c r="D82" i="38" s="1"/>
  <c r="C81" i="38"/>
  <c r="D81" i="38" s="1"/>
  <c r="C80" i="38"/>
  <c r="D80" i="38" s="1"/>
  <c r="C79" i="38"/>
  <c r="D79" i="38" s="1"/>
  <c r="C78" i="38"/>
  <c r="D78" i="38" s="1"/>
  <c r="C77" i="38"/>
  <c r="D77" i="38" s="1"/>
  <c r="C76" i="38"/>
  <c r="D76" i="38" s="1"/>
  <c r="C75" i="38"/>
  <c r="D75" i="38" s="1"/>
  <c r="C74" i="38"/>
  <c r="D74" i="38" s="1"/>
  <c r="C73" i="38"/>
  <c r="D73" i="38" s="1"/>
  <c r="C72" i="38"/>
  <c r="D72" i="38" s="1"/>
  <c r="C71" i="38"/>
  <c r="D71" i="38" s="1"/>
  <c r="C70" i="38"/>
  <c r="D70" i="38" s="1"/>
  <c r="C69" i="38"/>
  <c r="D69" i="38" s="1"/>
  <c r="C68" i="38"/>
  <c r="D68" i="38" s="1"/>
  <c r="C67" i="38"/>
  <c r="D67" i="38" s="1"/>
  <c r="C66" i="38"/>
  <c r="D66" i="38" s="1"/>
  <c r="C65" i="38"/>
  <c r="D65" i="38" s="1"/>
  <c r="C64" i="38"/>
  <c r="D64" i="38" s="1"/>
  <c r="C63" i="38"/>
  <c r="D63" i="38" s="1"/>
  <c r="C62" i="38"/>
  <c r="D62" i="38" s="1"/>
  <c r="C61" i="38"/>
  <c r="D61" i="38" s="1"/>
  <c r="C60" i="38"/>
  <c r="D60" i="38" s="1"/>
  <c r="C59" i="38"/>
  <c r="D59" i="38" s="1"/>
  <c r="C58" i="38"/>
  <c r="D58" i="38" s="1"/>
  <c r="C57" i="38"/>
  <c r="D57" i="38" s="1"/>
  <c r="C56" i="38"/>
  <c r="D56" i="38" s="1"/>
  <c r="C55" i="38"/>
  <c r="D55" i="38" s="1"/>
  <c r="C54" i="38"/>
  <c r="D54" i="38" s="1"/>
  <c r="C53" i="38"/>
  <c r="D53" i="38" s="1"/>
  <c r="C52" i="38"/>
  <c r="D52" i="38" s="1"/>
  <c r="C51" i="38"/>
  <c r="D51" i="38" s="1"/>
  <c r="C50" i="38"/>
  <c r="D50" i="38" s="1"/>
  <c r="C49" i="38"/>
  <c r="D49" i="38" s="1"/>
  <c r="C48" i="38"/>
  <c r="D48" i="38" s="1"/>
  <c r="C47" i="38"/>
  <c r="D47" i="38" s="1"/>
  <c r="C46" i="38"/>
  <c r="D46" i="38" s="1"/>
  <c r="C45" i="38"/>
  <c r="D45" i="38" s="1"/>
  <c r="C44" i="38"/>
  <c r="D44" i="38" s="1"/>
  <c r="C43" i="38"/>
  <c r="D43" i="38" s="1"/>
  <c r="C42" i="38"/>
  <c r="D42" i="38" s="1"/>
  <c r="C41" i="38"/>
  <c r="D41" i="38" s="1"/>
  <c r="C40" i="38"/>
  <c r="D40" i="38" s="1"/>
  <c r="C39" i="38"/>
  <c r="D39" i="38" s="1"/>
  <c r="C38" i="38"/>
  <c r="D38" i="38" s="1"/>
  <c r="C37" i="38"/>
  <c r="D37" i="38" s="1"/>
  <c r="C36" i="38"/>
  <c r="D36" i="38" s="1"/>
  <c r="C35" i="38"/>
  <c r="D35" i="38" s="1"/>
  <c r="C34" i="38"/>
  <c r="D34" i="38" s="1"/>
  <c r="C33" i="38"/>
  <c r="D33" i="38" s="1"/>
  <c r="C32" i="38"/>
  <c r="D32" i="38" s="1"/>
  <c r="C31" i="38"/>
  <c r="D31" i="38" s="1"/>
  <c r="C30" i="38"/>
  <c r="D30" i="38" s="1"/>
  <c r="C29" i="38"/>
  <c r="D29" i="38" s="1"/>
  <c r="C28" i="38"/>
  <c r="D28" i="38" s="1"/>
  <c r="C27" i="38"/>
  <c r="D27" i="38" s="1"/>
  <c r="C26" i="38"/>
  <c r="D26" i="38" s="1"/>
  <c r="C25" i="38"/>
  <c r="D25" i="38" s="1"/>
  <c r="C24" i="38"/>
  <c r="D24" i="38" s="1"/>
  <c r="C23" i="38"/>
  <c r="D23" i="38" s="1"/>
  <c r="C22" i="38"/>
  <c r="D22" i="38" s="1"/>
  <c r="C21" i="38"/>
  <c r="D21" i="38" s="1"/>
  <c r="C20" i="38"/>
  <c r="D20" i="38" s="1"/>
  <c r="C19" i="38"/>
  <c r="D19" i="38" s="1"/>
  <c r="C18" i="38"/>
  <c r="D18" i="38" s="1"/>
  <c r="C17" i="38"/>
  <c r="D17" i="38" s="1"/>
  <c r="C16" i="38"/>
  <c r="D16" i="38" s="1"/>
  <c r="C15" i="38"/>
  <c r="D15" i="38" s="1"/>
  <c r="C14" i="38"/>
  <c r="D14" i="38" s="1"/>
  <c r="C13" i="38"/>
  <c r="D13" i="38" s="1"/>
  <c r="C12" i="38"/>
  <c r="D12" i="38" s="1"/>
  <c r="C11" i="38"/>
  <c r="D11" i="38" s="1"/>
  <c r="C10" i="38"/>
  <c r="D10" i="38" s="1"/>
  <c r="C9" i="38"/>
  <c r="D9" i="38" s="1"/>
  <c r="C8" i="38"/>
  <c r="D8" i="38" s="1"/>
  <c r="C7" i="38"/>
  <c r="D7" i="38" s="1"/>
  <c r="C6" i="38"/>
  <c r="D6" i="38" s="1"/>
  <c r="C5" i="38"/>
  <c r="D5" i="38" s="1"/>
  <c r="C114" i="37"/>
  <c r="D114" i="37" s="1"/>
  <c r="C113" i="37"/>
  <c r="D113" i="37" s="1"/>
  <c r="D112" i="37"/>
  <c r="C112" i="37"/>
  <c r="C111" i="37"/>
  <c r="D111" i="37" s="1"/>
  <c r="C110" i="37"/>
  <c r="D110" i="37" s="1"/>
  <c r="C109" i="37"/>
  <c r="D109" i="37" s="1"/>
  <c r="C108" i="37"/>
  <c r="D108" i="37" s="1"/>
  <c r="C107" i="37"/>
  <c r="D107" i="37" s="1"/>
  <c r="C106" i="37"/>
  <c r="D106" i="37" s="1"/>
  <c r="C105" i="37"/>
  <c r="D105" i="37" s="1"/>
  <c r="D104" i="37"/>
  <c r="C104" i="37"/>
  <c r="C103" i="37"/>
  <c r="D103" i="37" s="1"/>
  <c r="C102" i="37"/>
  <c r="D102" i="37" s="1"/>
  <c r="C101" i="37"/>
  <c r="D101" i="37" s="1"/>
  <c r="C100" i="37"/>
  <c r="D100" i="37" s="1"/>
  <c r="C99" i="37"/>
  <c r="D99" i="37" s="1"/>
  <c r="C98" i="37"/>
  <c r="D98" i="37" s="1"/>
  <c r="C97" i="37"/>
  <c r="D97" i="37" s="1"/>
  <c r="D96" i="37"/>
  <c r="C96" i="37"/>
  <c r="C95" i="37"/>
  <c r="D95" i="37" s="1"/>
  <c r="C94" i="37"/>
  <c r="D94" i="37" s="1"/>
  <c r="C93" i="37"/>
  <c r="D93" i="37" s="1"/>
  <c r="C92" i="37"/>
  <c r="D92" i="37" s="1"/>
  <c r="C91" i="37"/>
  <c r="D91" i="37" s="1"/>
  <c r="C90" i="37"/>
  <c r="D90" i="37" s="1"/>
  <c r="C89" i="37"/>
  <c r="D89" i="37" s="1"/>
  <c r="D88" i="37"/>
  <c r="C88" i="37"/>
  <c r="C87" i="37"/>
  <c r="D87" i="37" s="1"/>
  <c r="C86" i="37"/>
  <c r="D86" i="37" s="1"/>
  <c r="C85" i="37"/>
  <c r="D85" i="37" s="1"/>
  <c r="C84" i="37"/>
  <c r="D84" i="37" s="1"/>
  <c r="C83" i="37"/>
  <c r="D83" i="37" s="1"/>
  <c r="C82" i="37"/>
  <c r="D82" i="37" s="1"/>
  <c r="C81" i="37"/>
  <c r="D81" i="37" s="1"/>
  <c r="D80" i="37"/>
  <c r="C80" i="37"/>
  <c r="C79" i="37"/>
  <c r="D79" i="37" s="1"/>
  <c r="C78" i="37"/>
  <c r="D78" i="37" s="1"/>
  <c r="C77" i="37"/>
  <c r="D77" i="37" s="1"/>
  <c r="C76" i="37"/>
  <c r="D76" i="37" s="1"/>
  <c r="C75" i="37"/>
  <c r="D75" i="37" s="1"/>
  <c r="C74" i="37"/>
  <c r="D74" i="37" s="1"/>
  <c r="C73" i="37"/>
  <c r="D73" i="37" s="1"/>
  <c r="D72" i="37"/>
  <c r="C72" i="37"/>
  <c r="C71" i="37"/>
  <c r="D71" i="37" s="1"/>
  <c r="C70" i="37"/>
  <c r="D70" i="37" s="1"/>
  <c r="C69" i="37"/>
  <c r="D69" i="37" s="1"/>
  <c r="C68" i="37"/>
  <c r="D68" i="37" s="1"/>
  <c r="C67" i="37"/>
  <c r="D67" i="37" s="1"/>
  <c r="C66" i="37"/>
  <c r="D66" i="37" s="1"/>
  <c r="C65" i="37"/>
  <c r="D65" i="37" s="1"/>
  <c r="D64" i="37"/>
  <c r="C64" i="37"/>
  <c r="C63" i="37"/>
  <c r="D63" i="37" s="1"/>
  <c r="C62" i="37"/>
  <c r="D62" i="37" s="1"/>
  <c r="C61" i="37"/>
  <c r="D61" i="37" s="1"/>
  <c r="C60" i="37"/>
  <c r="D60" i="37" s="1"/>
  <c r="C59" i="37"/>
  <c r="D59" i="37" s="1"/>
  <c r="C58" i="37"/>
  <c r="D58" i="37" s="1"/>
  <c r="C57" i="37"/>
  <c r="D57" i="37" s="1"/>
  <c r="C56" i="37"/>
  <c r="D56" i="37" s="1"/>
  <c r="C55" i="37"/>
  <c r="D55" i="37" s="1"/>
  <c r="C54" i="37"/>
  <c r="D54" i="37" s="1"/>
  <c r="C53" i="37"/>
  <c r="D53" i="37" s="1"/>
  <c r="D52" i="37"/>
  <c r="C52" i="37"/>
  <c r="C51" i="37"/>
  <c r="D51" i="37" s="1"/>
  <c r="D50" i="37"/>
  <c r="C50" i="37"/>
  <c r="C49" i="37"/>
  <c r="D49" i="37" s="1"/>
  <c r="C48" i="37"/>
  <c r="D48" i="37" s="1"/>
  <c r="C47" i="37"/>
  <c r="D47" i="37" s="1"/>
  <c r="C46" i="37"/>
  <c r="D46" i="37" s="1"/>
  <c r="C45" i="37"/>
  <c r="D45" i="37" s="1"/>
  <c r="D44" i="37"/>
  <c r="C44" i="37"/>
  <c r="C43" i="37"/>
  <c r="D43" i="37" s="1"/>
  <c r="D42" i="37"/>
  <c r="C42" i="37"/>
  <c r="C41" i="37"/>
  <c r="D41" i="37" s="1"/>
  <c r="C40" i="37"/>
  <c r="D40" i="37" s="1"/>
  <c r="C39" i="37"/>
  <c r="D39" i="37" s="1"/>
  <c r="C38" i="37"/>
  <c r="D38" i="37" s="1"/>
  <c r="C37" i="37"/>
  <c r="D37" i="37" s="1"/>
  <c r="C36" i="37"/>
  <c r="D36" i="37" s="1"/>
  <c r="C35" i="37"/>
  <c r="D35" i="37" s="1"/>
  <c r="C34" i="37"/>
  <c r="D34" i="37" s="1"/>
  <c r="C33" i="37"/>
  <c r="D33" i="37" s="1"/>
  <c r="C32" i="37"/>
  <c r="D32" i="37" s="1"/>
  <c r="C31" i="37"/>
  <c r="D31" i="37" s="1"/>
  <c r="C30" i="37"/>
  <c r="D30" i="37" s="1"/>
  <c r="C29" i="37"/>
  <c r="D29" i="37" s="1"/>
  <c r="C28" i="37"/>
  <c r="D28" i="37" s="1"/>
  <c r="C27" i="37"/>
  <c r="D27" i="37" s="1"/>
  <c r="C26" i="37"/>
  <c r="D26" i="37" s="1"/>
  <c r="C25" i="37"/>
  <c r="D25" i="37" s="1"/>
  <c r="C24" i="37"/>
  <c r="D24" i="37" s="1"/>
  <c r="C23" i="37"/>
  <c r="D23" i="37" s="1"/>
  <c r="C22" i="37"/>
  <c r="D22" i="37" s="1"/>
  <c r="C21" i="37"/>
  <c r="D21" i="37" s="1"/>
  <c r="C20" i="37"/>
  <c r="D20" i="37" s="1"/>
  <c r="C19" i="37"/>
  <c r="D19" i="37" s="1"/>
  <c r="C18" i="37"/>
  <c r="D18" i="37" s="1"/>
  <c r="C17" i="37"/>
  <c r="D17" i="37" s="1"/>
  <c r="C16" i="37"/>
  <c r="D16" i="37" s="1"/>
  <c r="C15" i="37"/>
  <c r="D15" i="37" s="1"/>
  <c r="C14" i="37"/>
  <c r="D14" i="37" s="1"/>
  <c r="C13" i="37"/>
  <c r="D13" i="37" s="1"/>
  <c r="C12" i="37"/>
  <c r="D12" i="37" s="1"/>
  <c r="C11" i="37"/>
  <c r="D11" i="37" s="1"/>
  <c r="C10" i="37"/>
  <c r="D10" i="37" s="1"/>
  <c r="C9" i="37"/>
  <c r="D9" i="37" s="1"/>
  <c r="C8" i="37"/>
  <c r="D8" i="37" s="1"/>
  <c r="C7" i="37"/>
  <c r="D7" i="37" s="1"/>
  <c r="C6" i="37"/>
  <c r="D6" i="37" s="1"/>
  <c r="C5" i="37"/>
  <c r="D5" i="37" s="1"/>
  <c r="C124" i="36"/>
  <c r="D124" i="36" s="1"/>
  <c r="C123" i="36"/>
  <c r="D123" i="36" s="1"/>
  <c r="C122" i="36"/>
  <c r="D122" i="36" s="1"/>
  <c r="C121" i="36"/>
  <c r="D121" i="36" s="1"/>
  <c r="C120" i="36"/>
  <c r="D120" i="36" s="1"/>
  <c r="C119" i="36"/>
  <c r="D119" i="36" s="1"/>
  <c r="C118" i="36"/>
  <c r="D118" i="36" s="1"/>
  <c r="C117" i="36"/>
  <c r="D117" i="36" s="1"/>
  <c r="C116" i="36"/>
  <c r="D116" i="36" s="1"/>
  <c r="C115" i="36"/>
  <c r="D115" i="36" s="1"/>
  <c r="C114" i="36"/>
  <c r="D114" i="36" s="1"/>
  <c r="C113" i="36"/>
  <c r="D113" i="36" s="1"/>
  <c r="C112" i="36"/>
  <c r="D112" i="36" s="1"/>
  <c r="C111" i="36"/>
  <c r="D111" i="36" s="1"/>
  <c r="C110" i="36"/>
  <c r="D110" i="36" s="1"/>
  <c r="C109" i="36"/>
  <c r="D109" i="36" s="1"/>
  <c r="C108" i="36"/>
  <c r="D108" i="36" s="1"/>
  <c r="C107" i="36"/>
  <c r="D107" i="36" s="1"/>
  <c r="C106" i="36"/>
  <c r="D106" i="36" s="1"/>
  <c r="C105" i="36"/>
  <c r="D105" i="36" s="1"/>
  <c r="C104" i="36"/>
  <c r="D104" i="36" s="1"/>
  <c r="C103" i="36"/>
  <c r="D103" i="36" s="1"/>
  <c r="C102" i="36"/>
  <c r="D102" i="36" s="1"/>
  <c r="C101" i="36"/>
  <c r="D101" i="36" s="1"/>
  <c r="C100" i="36"/>
  <c r="D100" i="36" s="1"/>
  <c r="C99" i="36"/>
  <c r="D99" i="36" s="1"/>
  <c r="C98" i="36"/>
  <c r="D98" i="36" s="1"/>
  <c r="C97" i="36"/>
  <c r="D97" i="36" s="1"/>
  <c r="C96" i="36"/>
  <c r="D96" i="36" s="1"/>
  <c r="C95" i="36"/>
  <c r="D95" i="36" s="1"/>
  <c r="C94" i="36"/>
  <c r="D94" i="36" s="1"/>
  <c r="C93" i="36"/>
  <c r="D93" i="36" s="1"/>
  <c r="C92" i="36"/>
  <c r="D92" i="36" s="1"/>
  <c r="C91" i="36"/>
  <c r="D91" i="36" s="1"/>
  <c r="C90" i="36"/>
  <c r="D90" i="36" s="1"/>
  <c r="C89" i="36"/>
  <c r="D89" i="36" s="1"/>
  <c r="C88" i="36"/>
  <c r="D88" i="36" s="1"/>
  <c r="C87" i="36"/>
  <c r="D87" i="36" s="1"/>
  <c r="C86" i="36"/>
  <c r="D86" i="36" s="1"/>
  <c r="C85" i="36"/>
  <c r="D85" i="36" s="1"/>
  <c r="C84" i="36"/>
  <c r="D84" i="36" s="1"/>
  <c r="C83" i="36"/>
  <c r="D83" i="36" s="1"/>
  <c r="C82" i="36"/>
  <c r="D82" i="36" s="1"/>
  <c r="C81" i="36"/>
  <c r="D81" i="36" s="1"/>
  <c r="C80" i="36"/>
  <c r="D80" i="36" s="1"/>
  <c r="C79" i="36"/>
  <c r="D79" i="36" s="1"/>
  <c r="C78" i="36"/>
  <c r="D78" i="36" s="1"/>
  <c r="C77" i="36"/>
  <c r="D77" i="36" s="1"/>
  <c r="C76" i="36"/>
  <c r="D76" i="36" s="1"/>
  <c r="C75" i="36"/>
  <c r="D75" i="36" s="1"/>
  <c r="C74" i="36"/>
  <c r="D74" i="36" s="1"/>
  <c r="C73" i="36"/>
  <c r="D73" i="36" s="1"/>
  <c r="C72" i="36"/>
  <c r="D72" i="36" s="1"/>
  <c r="C71" i="36"/>
  <c r="D71" i="36" s="1"/>
  <c r="C70" i="36"/>
  <c r="D70" i="36" s="1"/>
  <c r="C69" i="36"/>
  <c r="D69" i="36" s="1"/>
  <c r="C68" i="36"/>
  <c r="D68" i="36" s="1"/>
  <c r="C67" i="36"/>
  <c r="D67" i="36" s="1"/>
  <c r="C66" i="36"/>
  <c r="D66" i="36" s="1"/>
  <c r="C65" i="36"/>
  <c r="D65" i="36" s="1"/>
  <c r="C64" i="36"/>
  <c r="D64" i="36" s="1"/>
  <c r="C63" i="36"/>
  <c r="D63" i="36" s="1"/>
  <c r="C62" i="36"/>
  <c r="D62" i="36" s="1"/>
  <c r="C61" i="36"/>
  <c r="D61" i="36" s="1"/>
  <c r="C60" i="36"/>
  <c r="D60" i="36" s="1"/>
  <c r="C59" i="36"/>
  <c r="D59" i="36" s="1"/>
  <c r="C58" i="36"/>
  <c r="D58" i="36" s="1"/>
  <c r="C57" i="36"/>
  <c r="D57" i="36" s="1"/>
  <c r="C56" i="36"/>
  <c r="D56" i="36" s="1"/>
  <c r="C55" i="36"/>
  <c r="D55" i="36" s="1"/>
  <c r="C54" i="36"/>
  <c r="D54" i="36" s="1"/>
  <c r="C53" i="36"/>
  <c r="D53" i="36" s="1"/>
  <c r="C52" i="36"/>
  <c r="D52" i="36" s="1"/>
  <c r="C51" i="36"/>
  <c r="D51" i="36" s="1"/>
  <c r="C50" i="36"/>
  <c r="D50" i="36" s="1"/>
  <c r="C49" i="36"/>
  <c r="D49" i="36" s="1"/>
  <c r="C48" i="36"/>
  <c r="D48" i="36" s="1"/>
  <c r="C47" i="36"/>
  <c r="D47" i="36" s="1"/>
  <c r="C46" i="36"/>
  <c r="D46" i="36" s="1"/>
  <c r="C45" i="36"/>
  <c r="D45" i="36" s="1"/>
  <c r="C44" i="36"/>
  <c r="D44" i="36" s="1"/>
  <c r="C43" i="36"/>
  <c r="D43" i="36" s="1"/>
  <c r="C42" i="36"/>
  <c r="D42" i="36" s="1"/>
  <c r="C41" i="36"/>
  <c r="D41" i="36" s="1"/>
  <c r="C40" i="36"/>
  <c r="D40" i="36" s="1"/>
  <c r="C39" i="36"/>
  <c r="D39" i="36" s="1"/>
  <c r="C38" i="36"/>
  <c r="D38" i="36" s="1"/>
  <c r="C37" i="36"/>
  <c r="D37" i="36" s="1"/>
  <c r="C36" i="36"/>
  <c r="D36" i="36" s="1"/>
  <c r="C35" i="36"/>
  <c r="D35" i="36" s="1"/>
  <c r="C34" i="36"/>
  <c r="D34" i="36" s="1"/>
  <c r="C33" i="36"/>
  <c r="D33" i="36" s="1"/>
  <c r="C32" i="36"/>
  <c r="D32" i="36" s="1"/>
  <c r="C31" i="36"/>
  <c r="D31" i="36" s="1"/>
  <c r="C30" i="36"/>
  <c r="D30" i="36" s="1"/>
  <c r="C29" i="36"/>
  <c r="D29" i="36" s="1"/>
  <c r="C28" i="36"/>
  <c r="D28" i="36" s="1"/>
  <c r="C27" i="36"/>
  <c r="D27" i="36" s="1"/>
  <c r="C26" i="36"/>
  <c r="D26" i="36" s="1"/>
  <c r="C25" i="36"/>
  <c r="D25" i="36" s="1"/>
  <c r="C24" i="36"/>
  <c r="D24" i="36" s="1"/>
  <c r="C23" i="36"/>
  <c r="D23" i="36" s="1"/>
  <c r="C22" i="36"/>
  <c r="D22" i="36" s="1"/>
  <c r="C21" i="36"/>
  <c r="D21" i="36" s="1"/>
  <c r="C20" i="36"/>
  <c r="D20" i="36" s="1"/>
  <c r="C19" i="36"/>
  <c r="D19" i="36" s="1"/>
  <c r="C18" i="36"/>
  <c r="D18" i="36" s="1"/>
  <c r="C17" i="36"/>
  <c r="D17" i="36" s="1"/>
  <c r="C16" i="36"/>
  <c r="D16" i="36" s="1"/>
  <c r="C15" i="36"/>
  <c r="D15" i="36" s="1"/>
  <c r="C14" i="36"/>
  <c r="D14" i="36" s="1"/>
  <c r="C13" i="36"/>
  <c r="D13" i="36" s="1"/>
  <c r="C12" i="36"/>
  <c r="D12" i="36" s="1"/>
  <c r="C11" i="36"/>
  <c r="D11" i="36" s="1"/>
  <c r="C10" i="36"/>
  <c r="D10" i="36" s="1"/>
  <c r="C9" i="36"/>
  <c r="D9" i="36" s="1"/>
  <c r="C8" i="36"/>
  <c r="D8" i="36" s="1"/>
  <c r="C7" i="36"/>
  <c r="D7" i="36" s="1"/>
  <c r="C6" i="36"/>
  <c r="D6" i="36" s="1"/>
  <c r="C5" i="36"/>
  <c r="D5" i="36" s="1"/>
  <c r="C132" i="35"/>
  <c r="D132" i="35" s="1"/>
  <c r="C131" i="35"/>
  <c r="D131" i="35" s="1"/>
  <c r="C130" i="35"/>
  <c r="D130" i="35" s="1"/>
  <c r="C129" i="35"/>
  <c r="D129" i="35" s="1"/>
  <c r="C128" i="35"/>
  <c r="D128" i="35" s="1"/>
  <c r="C127" i="35"/>
  <c r="D127" i="35" s="1"/>
  <c r="C126" i="35"/>
  <c r="D126" i="35" s="1"/>
  <c r="C125" i="35"/>
  <c r="D125" i="35" s="1"/>
  <c r="C124" i="35"/>
  <c r="D124" i="35" s="1"/>
  <c r="C123" i="35"/>
  <c r="D123" i="35" s="1"/>
  <c r="C122" i="35"/>
  <c r="D122" i="35" s="1"/>
  <c r="C121" i="35"/>
  <c r="D121" i="35" s="1"/>
  <c r="C120" i="35"/>
  <c r="D120" i="35" s="1"/>
  <c r="C119" i="35"/>
  <c r="D119" i="35" s="1"/>
  <c r="C118" i="35"/>
  <c r="D118" i="35" s="1"/>
  <c r="C117" i="35"/>
  <c r="D117" i="35" s="1"/>
  <c r="C116" i="35"/>
  <c r="D116" i="35" s="1"/>
  <c r="C115" i="35"/>
  <c r="D115" i="35" s="1"/>
  <c r="C114" i="35"/>
  <c r="D114" i="35" s="1"/>
  <c r="C113" i="35"/>
  <c r="D113" i="35" s="1"/>
  <c r="C112" i="35"/>
  <c r="D112" i="35" s="1"/>
  <c r="C111" i="35"/>
  <c r="D111" i="35" s="1"/>
  <c r="C110" i="35"/>
  <c r="D110" i="35" s="1"/>
  <c r="C109" i="35"/>
  <c r="D109" i="35" s="1"/>
  <c r="C108" i="35"/>
  <c r="D108" i="35" s="1"/>
  <c r="C107" i="35"/>
  <c r="D107" i="35" s="1"/>
  <c r="C106" i="35"/>
  <c r="D106" i="35" s="1"/>
  <c r="C105" i="35"/>
  <c r="D105" i="35" s="1"/>
  <c r="C104" i="35"/>
  <c r="D104" i="35" s="1"/>
  <c r="C103" i="35"/>
  <c r="D103" i="35" s="1"/>
  <c r="C102" i="35"/>
  <c r="D102" i="35" s="1"/>
  <c r="C101" i="35"/>
  <c r="D101" i="35" s="1"/>
  <c r="C100" i="35"/>
  <c r="D100" i="35" s="1"/>
  <c r="C99" i="35"/>
  <c r="D99" i="35" s="1"/>
  <c r="C98" i="35"/>
  <c r="D98" i="35" s="1"/>
  <c r="C97" i="35"/>
  <c r="D97" i="35" s="1"/>
  <c r="C96" i="35"/>
  <c r="D96" i="35" s="1"/>
  <c r="C95" i="35"/>
  <c r="D95" i="35" s="1"/>
  <c r="C94" i="35"/>
  <c r="D94" i="35" s="1"/>
  <c r="C93" i="35"/>
  <c r="D93" i="35" s="1"/>
  <c r="C92" i="35"/>
  <c r="D92" i="35" s="1"/>
  <c r="C91" i="35"/>
  <c r="D91" i="35" s="1"/>
  <c r="C90" i="35"/>
  <c r="D90" i="35" s="1"/>
  <c r="C89" i="35"/>
  <c r="D89" i="35" s="1"/>
  <c r="C88" i="35"/>
  <c r="D88" i="35" s="1"/>
  <c r="C87" i="35"/>
  <c r="D87" i="35" s="1"/>
  <c r="C86" i="35"/>
  <c r="D86" i="35" s="1"/>
  <c r="C85" i="35"/>
  <c r="D85" i="35" s="1"/>
  <c r="C84" i="35"/>
  <c r="D84" i="35" s="1"/>
  <c r="C83" i="35"/>
  <c r="D83" i="35" s="1"/>
  <c r="C82" i="35"/>
  <c r="D82" i="35" s="1"/>
  <c r="C81" i="35"/>
  <c r="D81" i="35" s="1"/>
  <c r="C80" i="35"/>
  <c r="D80" i="35" s="1"/>
  <c r="C79" i="35"/>
  <c r="D79" i="35" s="1"/>
  <c r="C78" i="35"/>
  <c r="D78" i="35" s="1"/>
  <c r="C77" i="35"/>
  <c r="D77" i="35" s="1"/>
  <c r="C76" i="35"/>
  <c r="D76" i="35" s="1"/>
  <c r="C75" i="35"/>
  <c r="D75" i="35" s="1"/>
  <c r="C74" i="35"/>
  <c r="D74" i="35" s="1"/>
  <c r="C73" i="35"/>
  <c r="D73" i="35" s="1"/>
  <c r="C72" i="35"/>
  <c r="D72" i="35" s="1"/>
  <c r="C71" i="35"/>
  <c r="D71" i="35" s="1"/>
  <c r="C70" i="35"/>
  <c r="D70" i="35" s="1"/>
  <c r="C69" i="35"/>
  <c r="D69" i="35" s="1"/>
  <c r="C68" i="35"/>
  <c r="D68" i="35" s="1"/>
  <c r="C67" i="35"/>
  <c r="D67" i="35" s="1"/>
  <c r="C66" i="35"/>
  <c r="D66" i="35" s="1"/>
  <c r="C65" i="35"/>
  <c r="D65" i="35" s="1"/>
  <c r="C64" i="35"/>
  <c r="D64" i="35" s="1"/>
  <c r="C63" i="35"/>
  <c r="D63" i="35" s="1"/>
  <c r="C62" i="35"/>
  <c r="D62" i="35" s="1"/>
  <c r="C61" i="35"/>
  <c r="D61" i="35" s="1"/>
  <c r="C60" i="35"/>
  <c r="D60" i="35" s="1"/>
  <c r="C59" i="35"/>
  <c r="D59" i="35" s="1"/>
  <c r="C58" i="35"/>
  <c r="D58" i="35" s="1"/>
  <c r="C57" i="35"/>
  <c r="D57" i="35" s="1"/>
  <c r="C56" i="35"/>
  <c r="D56" i="35" s="1"/>
  <c r="C55" i="35"/>
  <c r="D55" i="35" s="1"/>
  <c r="C54" i="35"/>
  <c r="D54" i="35" s="1"/>
  <c r="C53" i="35"/>
  <c r="D53" i="35" s="1"/>
  <c r="C52" i="35"/>
  <c r="D52" i="35" s="1"/>
  <c r="C51" i="35"/>
  <c r="D51" i="35" s="1"/>
  <c r="C50" i="35"/>
  <c r="D50" i="35" s="1"/>
  <c r="C49" i="35"/>
  <c r="D49" i="35" s="1"/>
  <c r="C48" i="35"/>
  <c r="D48" i="35" s="1"/>
  <c r="C47" i="35"/>
  <c r="D47" i="35" s="1"/>
  <c r="C46" i="35"/>
  <c r="D46" i="35" s="1"/>
  <c r="C45" i="35"/>
  <c r="D45" i="35" s="1"/>
  <c r="C44" i="35"/>
  <c r="D44" i="35" s="1"/>
  <c r="C43" i="35"/>
  <c r="D43" i="35" s="1"/>
  <c r="C42" i="35"/>
  <c r="D42" i="35" s="1"/>
  <c r="C41" i="35"/>
  <c r="D41" i="35" s="1"/>
  <c r="C40" i="35"/>
  <c r="D40" i="35" s="1"/>
  <c r="C39" i="35"/>
  <c r="D39" i="35" s="1"/>
  <c r="C38" i="35"/>
  <c r="D38" i="35" s="1"/>
  <c r="C37" i="35"/>
  <c r="D37" i="35" s="1"/>
  <c r="C36" i="35"/>
  <c r="D36" i="35" s="1"/>
  <c r="C35" i="35"/>
  <c r="D35" i="35" s="1"/>
  <c r="C34" i="35"/>
  <c r="D34" i="35" s="1"/>
  <c r="C33" i="35"/>
  <c r="D33" i="35" s="1"/>
  <c r="C32" i="35"/>
  <c r="D32" i="35" s="1"/>
  <c r="C31" i="35"/>
  <c r="D31" i="35" s="1"/>
  <c r="C30" i="35"/>
  <c r="D30" i="35" s="1"/>
  <c r="C29" i="35"/>
  <c r="D29" i="35" s="1"/>
  <c r="C28" i="35"/>
  <c r="D28" i="35" s="1"/>
  <c r="C27" i="35"/>
  <c r="D27" i="35" s="1"/>
  <c r="C26" i="35"/>
  <c r="D26" i="35" s="1"/>
  <c r="C25" i="35"/>
  <c r="D25" i="35" s="1"/>
  <c r="C24" i="35"/>
  <c r="D24" i="35" s="1"/>
  <c r="C23" i="35"/>
  <c r="D23" i="35" s="1"/>
  <c r="C22" i="35"/>
  <c r="D22" i="35" s="1"/>
  <c r="C21" i="35"/>
  <c r="D21" i="35" s="1"/>
  <c r="C20" i="35"/>
  <c r="D20" i="35" s="1"/>
  <c r="C19" i="35"/>
  <c r="D19" i="35" s="1"/>
  <c r="C18" i="35"/>
  <c r="D18" i="35" s="1"/>
  <c r="C17" i="35"/>
  <c r="D17" i="35" s="1"/>
  <c r="C16" i="35"/>
  <c r="D16" i="35" s="1"/>
  <c r="C15" i="35"/>
  <c r="D15" i="35" s="1"/>
  <c r="C14" i="35"/>
  <c r="D14" i="35" s="1"/>
  <c r="C13" i="35"/>
  <c r="D13" i="35" s="1"/>
  <c r="C12" i="35"/>
  <c r="D12" i="35" s="1"/>
  <c r="C11" i="35"/>
  <c r="D11" i="35" s="1"/>
  <c r="C10" i="35"/>
  <c r="D10" i="35" s="1"/>
  <c r="C9" i="35"/>
  <c r="D9" i="35" s="1"/>
  <c r="C8" i="35"/>
  <c r="D8" i="35" s="1"/>
  <c r="C7" i="35"/>
  <c r="D7" i="35" s="1"/>
  <c r="C6" i="35"/>
  <c r="D6" i="35" s="1"/>
  <c r="C5" i="35"/>
  <c r="D5" i="35" s="1"/>
  <c r="D133" i="34"/>
  <c r="C133" i="34"/>
  <c r="D132" i="34"/>
  <c r="C132" i="34"/>
  <c r="D131" i="34"/>
  <c r="C131" i="34"/>
  <c r="D130" i="34"/>
  <c r="C130" i="34"/>
  <c r="D129" i="34"/>
  <c r="C129" i="34"/>
  <c r="D128" i="34"/>
  <c r="C128" i="34"/>
  <c r="D127" i="34"/>
  <c r="C127" i="34"/>
  <c r="D126" i="34"/>
  <c r="C126" i="34"/>
  <c r="D125" i="34"/>
  <c r="C125" i="34"/>
  <c r="D124" i="34"/>
  <c r="C124" i="34"/>
  <c r="D123" i="34"/>
  <c r="C123" i="34"/>
  <c r="D122" i="34"/>
  <c r="C122" i="34"/>
  <c r="D121" i="34"/>
  <c r="C121" i="34"/>
  <c r="D120" i="34"/>
  <c r="C120" i="34"/>
  <c r="D119" i="34"/>
  <c r="C119" i="34"/>
  <c r="D118" i="34"/>
  <c r="C118" i="34"/>
  <c r="D117" i="34"/>
  <c r="C117" i="34"/>
  <c r="D116" i="34"/>
  <c r="C116" i="34"/>
  <c r="D115" i="34"/>
  <c r="C115" i="34"/>
  <c r="D114" i="34"/>
  <c r="C114" i="34"/>
  <c r="D113" i="34"/>
  <c r="C113" i="34"/>
  <c r="D112" i="34"/>
  <c r="C112" i="34"/>
  <c r="D111" i="34"/>
  <c r="C111" i="34"/>
  <c r="D110" i="34"/>
  <c r="C110" i="34"/>
  <c r="D109" i="34"/>
  <c r="C109" i="34"/>
  <c r="D108" i="34"/>
  <c r="C108" i="34"/>
  <c r="D107" i="34"/>
  <c r="C107" i="34"/>
  <c r="D106" i="34"/>
  <c r="C106" i="34"/>
  <c r="D105" i="34"/>
  <c r="C105" i="34"/>
  <c r="D104" i="34"/>
  <c r="C104" i="34"/>
  <c r="D103" i="34"/>
  <c r="C103" i="34"/>
  <c r="D102" i="34"/>
  <c r="C102" i="34"/>
  <c r="D101" i="34"/>
  <c r="C101" i="34"/>
  <c r="D100" i="34"/>
  <c r="C100" i="34"/>
  <c r="D99" i="34"/>
  <c r="C99" i="34"/>
  <c r="D98" i="34"/>
  <c r="C98" i="34"/>
  <c r="D97" i="34"/>
  <c r="C97" i="34"/>
  <c r="D96" i="34"/>
  <c r="C96" i="34"/>
  <c r="D95" i="34"/>
  <c r="C95" i="34"/>
  <c r="D94" i="34"/>
  <c r="C94" i="34"/>
  <c r="D93" i="34"/>
  <c r="C93" i="34"/>
  <c r="D92" i="34"/>
  <c r="C92" i="34"/>
  <c r="D91" i="34"/>
  <c r="C91" i="34"/>
  <c r="D90" i="34"/>
  <c r="C90" i="34"/>
  <c r="D89" i="34"/>
  <c r="C89" i="34"/>
  <c r="D88" i="34"/>
  <c r="C88" i="34"/>
  <c r="D87" i="34"/>
  <c r="C87" i="34"/>
  <c r="D86" i="34"/>
  <c r="C86" i="34"/>
  <c r="D85" i="34"/>
  <c r="C85" i="34"/>
  <c r="D84" i="34"/>
  <c r="C84" i="34"/>
  <c r="D83" i="34"/>
  <c r="C83" i="34"/>
  <c r="D82" i="34"/>
  <c r="C82" i="34"/>
  <c r="D81" i="34"/>
  <c r="C81" i="34"/>
  <c r="D80" i="34"/>
  <c r="C80" i="34"/>
  <c r="D79" i="34"/>
  <c r="C79" i="34"/>
  <c r="D78" i="34"/>
  <c r="C78" i="34"/>
  <c r="D77" i="34"/>
  <c r="C77" i="34"/>
  <c r="D76" i="34"/>
  <c r="C76" i="34"/>
  <c r="D75" i="34"/>
  <c r="C75" i="34"/>
  <c r="C74" i="34"/>
  <c r="D74" i="34" s="1"/>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C40" i="34"/>
  <c r="D40" i="34" s="1"/>
  <c r="D39" i="34"/>
  <c r="C39" i="34"/>
  <c r="D38" i="34"/>
  <c r="C38" i="34"/>
  <c r="D37" i="34"/>
  <c r="C37" i="34"/>
  <c r="C36" i="34"/>
  <c r="D36" i="34" s="1"/>
  <c r="C35" i="34"/>
  <c r="D35" i="34" s="1"/>
  <c r="C34" i="34"/>
  <c r="D34" i="34" s="1"/>
  <c r="C33" i="34"/>
  <c r="D33" i="34" s="1"/>
  <c r="C32" i="34"/>
  <c r="D32" i="34" s="1"/>
  <c r="C31" i="34"/>
  <c r="D31" i="34" s="1"/>
  <c r="C30" i="34"/>
  <c r="D30" i="34" s="1"/>
  <c r="C29" i="34"/>
  <c r="D29" i="34" s="1"/>
  <c r="C28" i="34"/>
  <c r="D28" i="34" s="1"/>
  <c r="C27" i="34"/>
  <c r="D27" i="34" s="1"/>
  <c r="C26" i="34"/>
  <c r="D26" i="34" s="1"/>
  <c r="C25" i="34"/>
  <c r="D25" i="34" s="1"/>
  <c r="C24" i="34"/>
  <c r="D24" i="34" s="1"/>
  <c r="C23" i="34"/>
  <c r="D23" i="34" s="1"/>
  <c r="C22" i="34"/>
  <c r="D22" i="34" s="1"/>
  <c r="C21" i="34"/>
  <c r="D21" i="34" s="1"/>
  <c r="C20" i="34"/>
  <c r="D20" i="34" s="1"/>
  <c r="C19" i="34"/>
  <c r="D19" i="34" s="1"/>
  <c r="C18" i="34"/>
  <c r="D18" i="34" s="1"/>
  <c r="C17" i="34"/>
  <c r="D17" i="34" s="1"/>
  <c r="C16" i="34"/>
  <c r="D16" i="34" s="1"/>
  <c r="C15" i="34"/>
  <c r="D15" i="34" s="1"/>
  <c r="C14" i="34"/>
  <c r="D14" i="34" s="1"/>
  <c r="C13" i="34"/>
  <c r="D13" i="34" s="1"/>
  <c r="C12" i="34"/>
  <c r="D12" i="34" s="1"/>
  <c r="C11" i="34"/>
  <c r="D11" i="34" s="1"/>
  <c r="C10" i="34"/>
  <c r="D10" i="34" s="1"/>
  <c r="C9" i="34"/>
  <c r="D9" i="34" s="1"/>
  <c r="C8" i="34"/>
  <c r="D8" i="34" s="1"/>
  <c r="C7" i="34"/>
  <c r="D7" i="34" s="1"/>
  <c r="C6" i="34"/>
  <c r="D6" i="34" s="1"/>
  <c r="C5" i="34"/>
  <c r="D5" i="34" s="1"/>
  <c r="D145" i="33"/>
  <c r="C145" i="33"/>
  <c r="D144" i="33"/>
  <c r="C144" i="33"/>
  <c r="D143" i="33"/>
  <c r="C143" i="33"/>
  <c r="D142" i="33"/>
  <c r="C142" i="33"/>
  <c r="D141" i="33"/>
  <c r="C141" i="33"/>
  <c r="D140" i="33"/>
  <c r="C140" i="33"/>
  <c r="D139" i="33"/>
  <c r="C139" i="33"/>
  <c r="D138" i="33"/>
  <c r="C138" i="33"/>
  <c r="D137" i="33"/>
  <c r="C137" i="33"/>
  <c r="D136" i="33"/>
  <c r="C136" i="33"/>
  <c r="D135" i="33"/>
  <c r="C135" i="33"/>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D92" i="33"/>
  <c r="C92" i="33"/>
  <c r="D91" i="33"/>
  <c r="C91" i="33"/>
  <c r="D90" i="33"/>
  <c r="C90" i="33"/>
  <c r="D89" i="33"/>
  <c r="C89" i="33"/>
  <c r="D88" i="33"/>
  <c r="C88" i="33"/>
  <c r="D87" i="33"/>
  <c r="C87" i="33"/>
  <c r="D86" i="33"/>
  <c r="C86" i="33"/>
  <c r="D85" i="33"/>
  <c r="C85" i="33"/>
  <c r="D84" i="33"/>
  <c r="C84" i="33"/>
  <c r="D83" i="33"/>
  <c r="C83" i="33"/>
  <c r="D82" i="33"/>
  <c r="C82" i="33"/>
  <c r="D81" i="33"/>
  <c r="C81" i="33"/>
  <c r="D80" i="33"/>
  <c r="C80" i="33"/>
  <c r="D79" i="33"/>
  <c r="C79" i="33"/>
  <c r="D78" i="33"/>
  <c r="C78" i="33"/>
  <c r="D77" i="33"/>
  <c r="C77" i="33"/>
  <c r="D76" i="33"/>
  <c r="C76" i="33"/>
  <c r="D75" i="33"/>
  <c r="C75" i="33"/>
  <c r="D74" i="33"/>
  <c r="C74" i="33"/>
  <c r="D73" i="33"/>
  <c r="C73" i="33"/>
  <c r="D72" i="33"/>
  <c r="C72" i="33"/>
  <c r="D71" i="33"/>
  <c r="C71" i="33"/>
  <c r="D70" i="33"/>
  <c r="C70" i="33"/>
  <c r="D69" i="33"/>
  <c r="C69" i="33"/>
  <c r="D68" i="33"/>
  <c r="C68" i="33"/>
  <c r="D67" i="33"/>
  <c r="C67" i="33"/>
  <c r="D66" i="33"/>
  <c r="C66" i="33"/>
  <c r="D65" i="33"/>
  <c r="C65" i="33"/>
  <c r="D64" i="33"/>
  <c r="C64" i="33"/>
  <c r="D63" i="33"/>
  <c r="C63" i="33"/>
  <c r="D62" i="33"/>
  <c r="C62" i="33"/>
  <c r="D61" i="33"/>
  <c r="C61" i="33"/>
  <c r="D60" i="33"/>
  <c r="C60" i="33"/>
  <c r="D59" i="33"/>
  <c r="C59" i="33"/>
  <c r="D58" i="33"/>
  <c r="C58" i="33"/>
  <c r="D57" i="33"/>
  <c r="C57" i="33"/>
  <c r="D56" i="33"/>
  <c r="C56" i="33"/>
  <c r="D55" i="33"/>
  <c r="C55" i="33"/>
  <c r="D54" i="33"/>
  <c r="C54" i="33"/>
  <c r="D53" i="33"/>
  <c r="C53" i="33"/>
  <c r="D52" i="33"/>
  <c r="C52" i="33"/>
  <c r="D51" i="33"/>
  <c r="C51" i="33"/>
  <c r="D50" i="33"/>
  <c r="C50" i="33"/>
  <c r="D49" i="33"/>
  <c r="C49" i="33"/>
  <c r="D48" i="33"/>
  <c r="C48" i="33"/>
  <c r="D47" i="33"/>
  <c r="C47" i="33"/>
  <c r="D46" i="33"/>
  <c r="C46" i="33"/>
  <c r="D45" i="33"/>
  <c r="C45" i="33"/>
  <c r="D44" i="33"/>
  <c r="C44" i="33"/>
  <c r="D43" i="33"/>
  <c r="C43" i="33"/>
  <c r="D42" i="33"/>
  <c r="C42" i="33"/>
  <c r="D41" i="33"/>
  <c r="C41" i="33"/>
  <c r="D40" i="33"/>
  <c r="C40" i="33"/>
  <c r="D39" i="33"/>
  <c r="C39" i="33"/>
  <c r="D38" i="33"/>
  <c r="C38" i="33"/>
  <c r="D37" i="33"/>
  <c r="C37" i="33"/>
  <c r="D36" i="33"/>
  <c r="C36" i="33"/>
  <c r="D35" i="33"/>
  <c r="C35" i="33"/>
  <c r="D34" i="33"/>
  <c r="C34" i="33"/>
  <c r="D33" i="33"/>
  <c r="C33" i="33"/>
  <c r="D32" i="33"/>
  <c r="C32" i="33"/>
  <c r="D31" i="33"/>
  <c r="C31" i="33"/>
  <c r="D30" i="33"/>
  <c r="C30" i="33"/>
  <c r="D29" i="33"/>
  <c r="C29" i="33"/>
  <c r="D28" i="33"/>
  <c r="C28" i="33"/>
  <c r="D27" i="33"/>
  <c r="C27" i="33"/>
  <c r="D26" i="33"/>
  <c r="C26" i="33"/>
  <c r="D25" i="33"/>
  <c r="C25" i="33"/>
  <c r="D24" i="33"/>
  <c r="C24" i="33"/>
  <c r="D23" i="33"/>
  <c r="C23" i="33"/>
  <c r="D22" i="33"/>
  <c r="C22" i="33"/>
  <c r="D21" i="33"/>
  <c r="C21" i="33"/>
  <c r="D20" i="33"/>
  <c r="C20" i="33"/>
  <c r="D19" i="33"/>
  <c r="C19" i="33"/>
  <c r="D18" i="33"/>
  <c r="C18" i="33"/>
  <c r="D17" i="33"/>
  <c r="C17" i="33"/>
  <c r="D16" i="33"/>
  <c r="C16" i="33"/>
  <c r="D15" i="33"/>
  <c r="C15" i="33"/>
  <c r="D14" i="33"/>
  <c r="C14" i="33"/>
  <c r="D13" i="33"/>
  <c r="C13" i="33"/>
  <c r="D12" i="33"/>
  <c r="C12" i="33"/>
  <c r="D11" i="33"/>
  <c r="C11" i="33"/>
  <c r="D10" i="33"/>
  <c r="C10" i="33"/>
  <c r="D9" i="33"/>
  <c r="C9" i="33"/>
  <c r="D8" i="33"/>
  <c r="C8" i="33"/>
  <c r="D7" i="33"/>
  <c r="C7" i="33"/>
  <c r="D6" i="33"/>
  <c r="C6" i="33"/>
  <c r="D5" i="33"/>
  <c r="C5" i="33"/>
  <c r="D160" i="32"/>
  <c r="C160" i="32"/>
  <c r="D159" i="32"/>
  <c r="C159" i="32"/>
  <c r="D158" i="32"/>
  <c r="C158" i="32"/>
  <c r="D157" i="32"/>
  <c r="C157" i="32"/>
  <c r="D156" i="32"/>
  <c r="C156" i="32"/>
  <c r="D155" i="32"/>
  <c r="C155" i="32"/>
  <c r="D154" i="32"/>
  <c r="C154" i="32"/>
  <c r="D153" i="32"/>
  <c r="C153" i="32"/>
  <c r="D152" i="32"/>
  <c r="C152" i="32"/>
  <c r="D151" i="32"/>
  <c r="C151" i="32"/>
  <c r="D150" i="32"/>
  <c r="C150" i="32"/>
  <c r="D149" i="32"/>
  <c r="C149" i="32"/>
  <c r="D148" i="32"/>
  <c r="C148" i="32"/>
  <c r="D147" i="32"/>
  <c r="C147" i="32"/>
  <c r="D146" i="32"/>
  <c r="C146" i="32"/>
  <c r="D145" i="32"/>
  <c r="C145" i="32"/>
  <c r="D144" i="32"/>
  <c r="C144" i="32"/>
  <c r="D143" i="32"/>
  <c r="C143" i="32"/>
  <c r="D142" i="32"/>
  <c r="C142" i="32"/>
  <c r="D141" i="32"/>
  <c r="C141" i="32"/>
  <c r="D140" i="32"/>
  <c r="C140" i="32"/>
  <c r="D139" i="32"/>
  <c r="C139" i="32"/>
  <c r="D138" i="32"/>
  <c r="C138" i="32"/>
  <c r="D137" i="32"/>
  <c r="C137" i="32"/>
  <c r="D136" i="32"/>
  <c r="C136" i="32"/>
  <c r="D135" i="32"/>
  <c r="C135" i="32"/>
  <c r="D134" i="32"/>
  <c r="C134" i="32"/>
  <c r="D133" i="32"/>
  <c r="C133" i="32"/>
  <c r="D132" i="32"/>
  <c r="C132" i="32"/>
  <c r="D131" i="32"/>
  <c r="C131" i="32"/>
  <c r="D130" i="32"/>
  <c r="C130" i="32"/>
  <c r="D129" i="32"/>
  <c r="C129" i="32"/>
  <c r="D128" i="32"/>
  <c r="C128" i="32"/>
  <c r="D127" i="32"/>
  <c r="C127" i="32"/>
  <c r="D126" i="32"/>
  <c r="C126" i="32"/>
  <c r="D125" i="32"/>
  <c r="C125" i="32"/>
  <c r="D124" i="32"/>
  <c r="C124" i="32"/>
  <c r="D123" i="32"/>
  <c r="C123" i="32"/>
  <c r="D122" i="32"/>
  <c r="C122" i="32"/>
  <c r="D121" i="32"/>
  <c r="C121" i="32"/>
  <c r="D120" i="32"/>
  <c r="C120" i="32"/>
  <c r="D119" i="32"/>
  <c r="C119" i="32"/>
  <c r="D118" i="32"/>
  <c r="C118" i="32"/>
  <c r="D117" i="32"/>
  <c r="C117" i="32"/>
  <c r="D116" i="32"/>
  <c r="C116" i="32"/>
  <c r="D115" i="32"/>
  <c r="C115" i="32"/>
  <c r="D114" i="32"/>
  <c r="C114" i="32"/>
  <c r="D113" i="32"/>
  <c r="C113" i="32"/>
  <c r="D112" i="32"/>
  <c r="C112" i="32"/>
  <c r="D111" i="32"/>
  <c r="C111" i="32"/>
  <c r="D110" i="32"/>
  <c r="C110" i="32"/>
  <c r="D109" i="32"/>
  <c r="C109" i="32"/>
  <c r="D108" i="32"/>
  <c r="C108" i="32"/>
  <c r="D107" i="32"/>
  <c r="C107" i="32"/>
  <c r="D106" i="32"/>
  <c r="C106" i="32"/>
  <c r="D105" i="32"/>
  <c r="C105" i="32"/>
  <c r="D104" i="32"/>
  <c r="C104" i="32"/>
  <c r="D103" i="32"/>
  <c r="C103" i="32"/>
  <c r="D102" i="32"/>
  <c r="C102" i="32"/>
  <c r="C101" i="32"/>
  <c r="D101" i="32" s="1"/>
  <c r="D100" i="32"/>
  <c r="C100" i="32"/>
  <c r="D99" i="32"/>
  <c r="C99" i="32"/>
  <c r="D98" i="32"/>
  <c r="C98" i="32"/>
  <c r="D97" i="32"/>
  <c r="C97" i="32"/>
  <c r="D96" i="32"/>
  <c r="C96" i="32"/>
  <c r="D95" i="32"/>
  <c r="C95" i="32"/>
  <c r="D94" i="32"/>
  <c r="C94" i="32"/>
  <c r="D93" i="32"/>
  <c r="C93" i="32"/>
  <c r="D92" i="32"/>
  <c r="C92" i="32"/>
  <c r="D91" i="32"/>
  <c r="C91" i="32"/>
  <c r="D90" i="32"/>
  <c r="C90" i="32"/>
  <c r="D89" i="32"/>
  <c r="C89" i="32"/>
  <c r="D88" i="32"/>
  <c r="C88" i="32"/>
  <c r="D87" i="32"/>
  <c r="C87" i="32"/>
  <c r="D86" i="32"/>
  <c r="C86" i="32"/>
  <c r="D85" i="32"/>
  <c r="C85" i="32"/>
  <c r="D84" i="32"/>
  <c r="C84" i="32"/>
  <c r="D83" i="32"/>
  <c r="C83" i="32"/>
  <c r="D82" i="32"/>
  <c r="C82" i="32"/>
  <c r="C81" i="32"/>
  <c r="D81" i="32" s="1"/>
  <c r="C80" i="32"/>
  <c r="D80" i="32" s="1"/>
  <c r="C79" i="32"/>
  <c r="D79" i="32" s="1"/>
  <c r="C78" i="32"/>
  <c r="D78" i="32" s="1"/>
  <c r="C77" i="32"/>
  <c r="D77" i="32" s="1"/>
  <c r="C76" i="32"/>
  <c r="D76" i="32" s="1"/>
  <c r="C75" i="32"/>
  <c r="D75" i="32" s="1"/>
  <c r="C74" i="32"/>
  <c r="D74" i="32" s="1"/>
  <c r="C73" i="32"/>
  <c r="D73" i="32" s="1"/>
  <c r="C72" i="32"/>
  <c r="D72" i="32" s="1"/>
  <c r="C71" i="32"/>
  <c r="D71" i="32" s="1"/>
  <c r="C70" i="32"/>
  <c r="D70" i="32" s="1"/>
  <c r="C69" i="32"/>
  <c r="D69" i="32" s="1"/>
  <c r="C68" i="32"/>
  <c r="D68" i="32" s="1"/>
  <c r="C67" i="32"/>
  <c r="D67" i="32" s="1"/>
  <c r="C66" i="32"/>
  <c r="D66" i="32" s="1"/>
  <c r="C65" i="32"/>
  <c r="D65" i="32" s="1"/>
  <c r="C64" i="32"/>
  <c r="D64" i="32" s="1"/>
  <c r="C63" i="32"/>
  <c r="D63" i="32" s="1"/>
  <c r="C62" i="32"/>
  <c r="D62" i="32" s="1"/>
  <c r="C61" i="32"/>
  <c r="D61" i="32" s="1"/>
  <c r="C60" i="32"/>
  <c r="D60" i="32" s="1"/>
  <c r="C59" i="32"/>
  <c r="D59" i="32" s="1"/>
  <c r="C58" i="32"/>
  <c r="D58" i="32" s="1"/>
  <c r="C57" i="32"/>
  <c r="D57" i="32" s="1"/>
  <c r="C56" i="32"/>
  <c r="D56" i="32" s="1"/>
  <c r="C55" i="32"/>
  <c r="D55" i="32" s="1"/>
  <c r="C54" i="32"/>
  <c r="D54" i="32" s="1"/>
  <c r="C53" i="32"/>
  <c r="D53" i="32" s="1"/>
  <c r="C52" i="32"/>
  <c r="D52" i="32" s="1"/>
  <c r="C51" i="32"/>
  <c r="D51" i="32" s="1"/>
  <c r="C50" i="32"/>
  <c r="D50" i="32" s="1"/>
  <c r="C49" i="32"/>
  <c r="D49" i="32" s="1"/>
  <c r="C48" i="32"/>
  <c r="D48" i="32" s="1"/>
  <c r="C47" i="32"/>
  <c r="D47" i="32" s="1"/>
  <c r="C46" i="32"/>
  <c r="D46" i="32" s="1"/>
  <c r="C45" i="32"/>
  <c r="D45" i="32" s="1"/>
  <c r="C44" i="32"/>
  <c r="D44" i="32" s="1"/>
  <c r="C43" i="32"/>
  <c r="D43" i="32" s="1"/>
  <c r="C42" i="32"/>
  <c r="D42" i="32" s="1"/>
  <c r="C41" i="32"/>
  <c r="D41" i="32" s="1"/>
  <c r="C40" i="32"/>
  <c r="D40" i="32" s="1"/>
  <c r="C39" i="32"/>
  <c r="D39" i="32" s="1"/>
  <c r="C38" i="32"/>
  <c r="D38" i="32" s="1"/>
  <c r="C37" i="32"/>
  <c r="D37" i="32" s="1"/>
  <c r="C36" i="32"/>
  <c r="D36" i="32" s="1"/>
  <c r="C35" i="32"/>
  <c r="D35" i="32" s="1"/>
  <c r="C34" i="32"/>
  <c r="D34" i="32" s="1"/>
  <c r="C33" i="32"/>
  <c r="D33" i="32" s="1"/>
  <c r="C32" i="32"/>
  <c r="D32" i="32" s="1"/>
  <c r="C31" i="32"/>
  <c r="D31" i="32" s="1"/>
  <c r="C30" i="32"/>
  <c r="D30" i="32" s="1"/>
  <c r="C29" i="32"/>
  <c r="D29" i="32" s="1"/>
  <c r="C28" i="32"/>
  <c r="D28" i="32" s="1"/>
  <c r="C27" i="32"/>
  <c r="D27" i="32" s="1"/>
  <c r="C26" i="32"/>
  <c r="D26" i="32" s="1"/>
  <c r="C25" i="32"/>
  <c r="D25" i="32" s="1"/>
  <c r="C24" i="32"/>
  <c r="D24" i="32" s="1"/>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C11" i="32"/>
  <c r="D11" i="32" s="1"/>
  <c r="C10" i="32"/>
  <c r="D10" i="32" s="1"/>
  <c r="C9" i="32"/>
  <c r="D9" i="32" s="1"/>
  <c r="C8" i="32"/>
  <c r="D8" i="32" s="1"/>
  <c r="C7" i="32"/>
  <c r="D7" i="32" s="1"/>
  <c r="C6" i="32"/>
  <c r="D6" i="32" s="1"/>
  <c r="C5" i="32"/>
  <c r="D5" i="32" s="1"/>
  <c r="C180" i="31"/>
  <c r="D180" i="31" s="1"/>
  <c r="D179" i="31"/>
  <c r="C179" i="31"/>
  <c r="D178" i="31"/>
  <c r="C178" i="31"/>
  <c r="D177" i="31"/>
  <c r="C177" i="31"/>
  <c r="D176" i="31"/>
  <c r="C176" i="31"/>
  <c r="D175" i="31"/>
  <c r="C175" i="31"/>
  <c r="D174" i="31"/>
  <c r="C174" i="31"/>
  <c r="D173" i="31"/>
  <c r="C173" i="31"/>
  <c r="D172" i="31"/>
  <c r="C172" i="31"/>
  <c r="D171" i="31"/>
  <c r="C171" i="31"/>
  <c r="D170" i="31"/>
  <c r="C170" i="31"/>
  <c r="D169" i="31"/>
  <c r="C169" i="31"/>
  <c r="D168" i="31"/>
  <c r="C168" i="31"/>
  <c r="D167" i="31"/>
  <c r="C167" i="31"/>
  <c r="D166" i="31"/>
  <c r="C166" i="31"/>
  <c r="D165" i="31"/>
  <c r="C165" i="31"/>
  <c r="D164" i="31"/>
  <c r="C164" i="31"/>
  <c r="D163" i="31"/>
  <c r="C163" i="31"/>
  <c r="D162" i="31"/>
  <c r="C162" i="31"/>
  <c r="D161" i="31"/>
  <c r="C161" i="31"/>
  <c r="D160" i="31"/>
  <c r="C160" i="31"/>
  <c r="D159" i="31"/>
  <c r="C159" i="31"/>
  <c r="D158" i="31"/>
  <c r="C158" i="31"/>
  <c r="D157" i="31"/>
  <c r="C157" i="31"/>
  <c r="D156" i="31"/>
  <c r="C156" i="31"/>
  <c r="D155" i="31"/>
  <c r="C155" i="31"/>
  <c r="D154" i="31"/>
  <c r="C154" i="31"/>
  <c r="D153" i="31"/>
  <c r="C153" i="31"/>
  <c r="D152" i="31"/>
  <c r="C152" i="31"/>
  <c r="C151" i="31"/>
  <c r="D151" i="31" s="1"/>
  <c r="C150" i="31"/>
  <c r="D150" i="31" s="1"/>
  <c r="C149" i="31"/>
  <c r="D149" i="31" s="1"/>
  <c r="C148" i="31"/>
  <c r="D148" i="31" s="1"/>
  <c r="C147" i="31"/>
  <c r="D147" i="31" s="1"/>
  <c r="C146" i="31"/>
  <c r="D146" i="31" s="1"/>
  <c r="C145" i="31"/>
  <c r="D145" i="31" s="1"/>
  <c r="C144" i="31"/>
  <c r="D144" i="31" s="1"/>
  <c r="C143" i="31"/>
  <c r="D143" i="31" s="1"/>
  <c r="C142" i="31"/>
  <c r="D142" i="31" s="1"/>
  <c r="C141" i="31"/>
  <c r="D141" i="31" s="1"/>
  <c r="C140" i="31"/>
  <c r="D140" i="31" s="1"/>
  <c r="C139" i="31"/>
  <c r="D139" i="31" s="1"/>
  <c r="C138" i="31"/>
  <c r="D138" i="31" s="1"/>
  <c r="C137" i="31"/>
  <c r="D137" i="31" s="1"/>
  <c r="C136" i="31"/>
  <c r="D136" i="31" s="1"/>
  <c r="C135" i="31"/>
  <c r="D135" i="31" s="1"/>
  <c r="C134" i="31"/>
  <c r="D134" i="31" s="1"/>
  <c r="C133" i="31"/>
  <c r="D133" i="31" s="1"/>
  <c r="C132" i="31"/>
  <c r="D132" i="31" s="1"/>
  <c r="C131" i="31"/>
  <c r="D131" i="31" s="1"/>
  <c r="C130" i="31"/>
  <c r="D130" i="31" s="1"/>
  <c r="C129" i="31"/>
  <c r="D129" i="31" s="1"/>
  <c r="C128" i="31"/>
  <c r="D128" i="31" s="1"/>
  <c r="C127" i="31"/>
  <c r="D127" i="31" s="1"/>
  <c r="C126" i="31"/>
  <c r="D126" i="31" s="1"/>
  <c r="C125" i="31"/>
  <c r="D125" i="31" s="1"/>
  <c r="C124" i="31"/>
  <c r="D124" i="31" s="1"/>
  <c r="C123" i="31"/>
  <c r="D123" i="31" s="1"/>
  <c r="C122" i="31"/>
  <c r="D122" i="31" s="1"/>
  <c r="C121" i="31"/>
  <c r="D121" i="31" s="1"/>
  <c r="C120" i="31"/>
  <c r="D120" i="31" s="1"/>
  <c r="C119" i="31"/>
  <c r="D119" i="31" s="1"/>
  <c r="C118" i="31"/>
  <c r="D118" i="31" s="1"/>
  <c r="C117" i="31"/>
  <c r="D117" i="31" s="1"/>
  <c r="C116" i="31"/>
  <c r="D116" i="31" s="1"/>
  <c r="C115" i="31"/>
  <c r="D115" i="31" s="1"/>
  <c r="C114" i="31"/>
  <c r="D114" i="31" s="1"/>
  <c r="C113" i="31"/>
  <c r="D113" i="31" s="1"/>
  <c r="C112" i="31"/>
  <c r="D112" i="31" s="1"/>
  <c r="C111" i="31"/>
  <c r="D111" i="31" s="1"/>
  <c r="C110" i="31"/>
  <c r="D110" i="31" s="1"/>
  <c r="C109" i="31"/>
  <c r="D109" i="31" s="1"/>
  <c r="C108" i="31"/>
  <c r="D108" i="31" s="1"/>
  <c r="C107" i="31"/>
  <c r="D107" i="31" s="1"/>
  <c r="C106" i="31"/>
  <c r="D106" i="31" s="1"/>
  <c r="C105" i="31"/>
  <c r="D105" i="31" s="1"/>
  <c r="C104" i="31"/>
  <c r="D104" i="31" s="1"/>
  <c r="C103" i="31"/>
  <c r="D103" i="31" s="1"/>
  <c r="C102" i="31"/>
  <c r="D102" i="31" s="1"/>
  <c r="C101" i="31"/>
  <c r="D101" i="31" s="1"/>
  <c r="C100" i="31"/>
  <c r="D100" i="31" s="1"/>
  <c r="C99" i="31"/>
  <c r="D99" i="31" s="1"/>
  <c r="C98" i="31"/>
  <c r="D98" i="31" s="1"/>
  <c r="C97" i="31"/>
  <c r="D97" i="31" s="1"/>
  <c r="C96" i="31"/>
  <c r="D96" i="31" s="1"/>
  <c r="C95" i="31"/>
  <c r="D95" i="31" s="1"/>
  <c r="C94" i="31"/>
  <c r="D94" i="31" s="1"/>
  <c r="C93" i="31"/>
  <c r="D93" i="31" s="1"/>
  <c r="C92" i="31"/>
  <c r="D92" i="31" s="1"/>
  <c r="C91" i="31"/>
  <c r="D91" i="31" s="1"/>
  <c r="C90" i="31"/>
  <c r="D90" i="31" s="1"/>
  <c r="C89" i="31"/>
  <c r="D89" i="31" s="1"/>
  <c r="C88" i="31"/>
  <c r="D88" i="31" s="1"/>
  <c r="C87" i="31"/>
  <c r="D87" i="31" s="1"/>
  <c r="C86" i="31"/>
  <c r="D86" i="31" s="1"/>
  <c r="C85" i="31"/>
  <c r="D85" i="31" s="1"/>
  <c r="C84" i="31"/>
  <c r="D84" i="31" s="1"/>
  <c r="C83" i="31"/>
  <c r="D83" i="31" s="1"/>
  <c r="C82" i="31"/>
  <c r="D82" i="31" s="1"/>
  <c r="C81" i="31"/>
  <c r="D81" i="31" s="1"/>
  <c r="C80" i="31"/>
  <c r="D80" i="31" s="1"/>
  <c r="C79" i="31"/>
  <c r="D79" i="31" s="1"/>
  <c r="C78" i="31"/>
  <c r="D78" i="31" s="1"/>
  <c r="C77" i="31"/>
  <c r="D77" i="31" s="1"/>
  <c r="C76" i="31"/>
  <c r="D76" i="31" s="1"/>
  <c r="C75" i="31"/>
  <c r="D75" i="31" s="1"/>
  <c r="C74" i="31"/>
  <c r="D74" i="31" s="1"/>
  <c r="C73" i="31"/>
  <c r="D73" i="31" s="1"/>
  <c r="C72" i="31"/>
  <c r="D72" i="31" s="1"/>
  <c r="C71" i="31"/>
  <c r="D71" i="31" s="1"/>
  <c r="C70" i="31"/>
  <c r="D70" i="31" s="1"/>
  <c r="C69" i="31"/>
  <c r="D69" i="31" s="1"/>
  <c r="C68" i="31"/>
  <c r="D68" i="31" s="1"/>
  <c r="C67" i="31"/>
  <c r="D67" i="31" s="1"/>
  <c r="C66" i="31"/>
  <c r="D66" i="31" s="1"/>
  <c r="C65" i="31"/>
  <c r="D65" i="31" s="1"/>
  <c r="C64" i="31"/>
  <c r="D64" i="31" s="1"/>
  <c r="C63" i="31"/>
  <c r="D63" i="31" s="1"/>
  <c r="C62" i="31"/>
  <c r="D62" i="31" s="1"/>
  <c r="C61" i="31"/>
  <c r="D61" i="31" s="1"/>
  <c r="C60" i="31"/>
  <c r="D60" i="31" s="1"/>
  <c r="C59" i="31"/>
  <c r="D59" i="31" s="1"/>
  <c r="C58" i="31"/>
  <c r="D58" i="31" s="1"/>
  <c r="C57" i="31"/>
  <c r="D57" i="31" s="1"/>
  <c r="C56" i="31"/>
  <c r="D56" i="31" s="1"/>
  <c r="C55" i="31"/>
  <c r="D55" i="31" s="1"/>
  <c r="C54" i="31"/>
  <c r="D54" i="31" s="1"/>
  <c r="C53" i="31"/>
  <c r="D53" i="31" s="1"/>
  <c r="C52" i="31"/>
  <c r="D52" i="31" s="1"/>
  <c r="C51" i="31"/>
  <c r="D51" i="31" s="1"/>
  <c r="C50" i="31"/>
  <c r="D50" i="31" s="1"/>
  <c r="C49" i="31"/>
  <c r="D49" i="31" s="1"/>
  <c r="C48" i="31"/>
  <c r="D48" i="31" s="1"/>
  <c r="C47" i="31"/>
  <c r="D47" i="31" s="1"/>
  <c r="C46" i="31"/>
  <c r="D46" i="31" s="1"/>
  <c r="C45" i="31"/>
  <c r="D45" i="31" s="1"/>
  <c r="C44" i="31"/>
  <c r="D44" i="31" s="1"/>
  <c r="C43" i="31"/>
  <c r="D43" i="31" s="1"/>
  <c r="C42" i="31"/>
  <c r="D42" i="31" s="1"/>
  <c r="C41" i="31"/>
  <c r="D41" i="31" s="1"/>
  <c r="C40" i="31"/>
  <c r="D40" i="31" s="1"/>
  <c r="C39" i="31"/>
  <c r="D39" i="31" s="1"/>
  <c r="C38" i="31"/>
  <c r="D38" i="31" s="1"/>
  <c r="C37" i="31"/>
  <c r="D37" i="31" s="1"/>
  <c r="C36" i="31"/>
  <c r="D36" i="31" s="1"/>
  <c r="C35" i="31"/>
  <c r="D35" i="31" s="1"/>
  <c r="C34" i="31"/>
  <c r="D34" i="31" s="1"/>
  <c r="C33" i="31"/>
  <c r="D33" i="31" s="1"/>
  <c r="C32" i="31"/>
  <c r="D32" i="31" s="1"/>
  <c r="C31" i="31"/>
  <c r="D31" i="31" s="1"/>
  <c r="C30" i="31"/>
  <c r="D30" i="31" s="1"/>
  <c r="C29" i="31"/>
  <c r="D29" i="31" s="1"/>
  <c r="C28" i="31"/>
  <c r="D28" i="31" s="1"/>
  <c r="C27" i="31"/>
  <c r="D27" i="31" s="1"/>
  <c r="C26" i="31"/>
  <c r="D26" i="31" s="1"/>
  <c r="C25" i="31"/>
  <c r="D25" i="31" s="1"/>
  <c r="C24" i="31"/>
  <c r="D24" i="31" s="1"/>
  <c r="C23" i="31"/>
  <c r="D23" i="31" s="1"/>
  <c r="C22" i="31"/>
  <c r="D22" i="31" s="1"/>
  <c r="C21" i="31"/>
  <c r="D21" i="31" s="1"/>
  <c r="C20" i="31"/>
  <c r="D20" i="31" s="1"/>
  <c r="C19" i="31"/>
  <c r="D19" i="31" s="1"/>
  <c r="C18" i="31"/>
  <c r="D18" i="31" s="1"/>
  <c r="C17" i="31"/>
  <c r="D17" i="31" s="1"/>
  <c r="C16" i="31"/>
  <c r="D16" i="31" s="1"/>
  <c r="C15" i="31"/>
  <c r="D15" i="31" s="1"/>
  <c r="C14" i="31"/>
  <c r="D14" i="31" s="1"/>
  <c r="C13" i="31"/>
  <c r="D13" i="31" s="1"/>
  <c r="C12" i="31"/>
  <c r="D12" i="31" s="1"/>
  <c r="C11" i="31"/>
  <c r="D11" i="31" s="1"/>
  <c r="C10" i="31"/>
  <c r="D10" i="31" s="1"/>
  <c r="C9" i="31"/>
  <c r="D9" i="31" s="1"/>
  <c r="C8" i="31"/>
  <c r="D8" i="31" s="1"/>
  <c r="C7" i="31"/>
  <c r="D7" i="31" s="1"/>
  <c r="C6" i="31"/>
  <c r="D6" i="31" s="1"/>
  <c r="C5" i="31"/>
  <c r="D5" i="31" s="1"/>
  <c r="E82" i="52" l="1"/>
  <c r="C4" i="38"/>
  <c r="D4" i="38" s="1"/>
  <c r="C4" i="37"/>
  <c r="D4" i="37" s="1"/>
  <c r="C4" i="36"/>
  <c r="D4" i="36" s="1"/>
  <c r="D4" i="35"/>
  <c r="C4" i="35"/>
  <c r="D4" i="34"/>
  <c r="C4" i="34"/>
  <c r="D4" i="33"/>
  <c r="C4" i="33"/>
  <c r="C4" i="32"/>
  <c r="D4" i="32" s="1"/>
  <c r="C4" i="31"/>
  <c r="D4" i="31" s="1"/>
  <c r="D179" i="30"/>
  <c r="C179" i="30"/>
  <c r="D178" i="30"/>
  <c r="C178" i="30"/>
  <c r="D177" i="30"/>
  <c r="C177" i="30"/>
  <c r="D176" i="30"/>
  <c r="C176" i="30"/>
  <c r="D175" i="30"/>
  <c r="C175" i="30"/>
  <c r="D174" i="30"/>
  <c r="C174" i="30"/>
  <c r="D173" i="30"/>
  <c r="C173" i="30"/>
  <c r="D172" i="30"/>
  <c r="C172" i="30"/>
  <c r="D171" i="30"/>
  <c r="C171" i="30"/>
  <c r="D170" i="30"/>
  <c r="C170" i="30"/>
  <c r="D169" i="30"/>
  <c r="C169" i="30"/>
  <c r="D168" i="30"/>
  <c r="C168" i="30"/>
  <c r="D167" i="30"/>
  <c r="C167" i="30"/>
  <c r="D166" i="30"/>
  <c r="C166" i="30"/>
  <c r="D165" i="30"/>
  <c r="C165" i="30"/>
  <c r="D164" i="30"/>
  <c r="C164" i="30"/>
  <c r="D163" i="30"/>
  <c r="C163" i="30"/>
  <c r="D162" i="30"/>
  <c r="C162" i="30"/>
  <c r="D161" i="30"/>
  <c r="C161" i="30"/>
  <c r="D160" i="30"/>
  <c r="C160" i="30"/>
  <c r="D159" i="30"/>
  <c r="C159" i="30"/>
  <c r="D158" i="30"/>
  <c r="C158" i="30"/>
  <c r="D157" i="30"/>
  <c r="C157" i="30"/>
  <c r="D156" i="30"/>
  <c r="C156" i="30"/>
  <c r="D155" i="30"/>
  <c r="C155" i="30"/>
  <c r="D154" i="30"/>
  <c r="C154" i="30"/>
  <c r="D153" i="30"/>
  <c r="C153" i="30"/>
  <c r="D152" i="30"/>
  <c r="C152" i="30"/>
  <c r="D151" i="30"/>
  <c r="C151" i="30"/>
  <c r="D150" i="30"/>
  <c r="C150" i="30"/>
  <c r="D149" i="30"/>
  <c r="C149" i="30"/>
  <c r="D148" i="30"/>
  <c r="C148" i="30"/>
  <c r="D147" i="30"/>
  <c r="C147" i="30"/>
  <c r="D146" i="30"/>
  <c r="C146" i="30"/>
  <c r="D145" i="30"/>
  <c r="C145" i="30"/>
  <c r="D144" i="30"/>
  <c r="C144" i="30"/>
  <c r="D143" i="30"/>
  <c r="C143" i="30"/>
  <c r="D142" i="30"/>
  <c r="C142" i="30"/>
  <c r="D141" i="30"/>
  <c r="C141" i="30"/>
  <c r="D140" i="30"/>
  <c r="C140" i="30"/>
  <c r="D139" i="30"/>
  <c r="C139" i="30"/>
  <c r="D138" i="30"/>
  <c r="C138" i="30"/>
  <c r="D137" i="30"/>
  <c r="C137" i="30"/>
  <c r="D136" i="30"/>
  <c r="C136" i="30"/>
  <c r="D135" i="30"/>
  <c r="C135" i="30"/>
  <c r="D134" i="30"/>
  <c r="C134" i="30"/>
  <c r="D133" i="30"/>
  <c r="C133" i="30"/>
  <c r="D132" i="30"/>
  <c r="C132" i="30"/>
  <c r="D131" i="30"/>
  <c r="C131" i="30"/>
  <c r="D130" i="30"/>
  <c r="C130" i="30"/>
  <c r="D129" i="30"/>
  <c r="C129" i="30"/>
  <c r="D128" i="30"/>
  <c r="C128" i="30"/>
  <c r="D127" i="30"/>
  <c r="C127" i="30"/>
  <c r="D126" i="30"/>
  <c r="C126" i="30"/>
  <c r="D125" i="30"/>
  <c r="C125" i="30"/>
  <c r="D124" i="30"/>
  <c r="C124" i="30"/>
  <c r="D123" i="30"/>
  <c r="C123" i="30"/>
  <c r="D122" i="30"/>
  <c r="C122" i="30"/>
  <c r="D121" i="30"/>
  <c r="C121" i="30"/>
  <c r="D120" i="30"/>
  <c r="C120" i="30"/>
  <c r="D119" i="30"/>
  <c r="C119" i="30"/>
  <c r="D118" i="30"/>
  <c r="C118" i="30"/>
  <c r="D117" i="30"/>
  <c r="C117" i="30"/>
  <c r="D116" i="30"/>
  <c r="C116" i="30"/>
  <c r="D115" i="30"/>
  <c r="C115" i="30"/>
  <c r="D114" i="30"/>
  <c r="C114" i="30"/>
  <c r="C113" i="30"/>
  <c r="D113" i="30" s="1"/>
  <c r="D112" i="30"/>
  <c r="C112" i="30"/>
  <c r="D111" i="30"/>
  <c r="C111" i="30"/>
  <c r="D110" i="30"/>
  <c r="C110" i="30"/>
  <c r="D109" i="30"/>
  <c r="C109" i="30"/>
  <c r="D108" i="30"/>
  <c r="C108" i="30"/>
  <c r="D107" i="30"/>
  <c r="C107" i="30"/>
  <c r="D106" i="30"/>
  <c r="C106" i="30"/>
  <c r="D105" i="30"/>
  <c r="C105" i="30"/>
  <c r="D104" i="30"/>
  <c r="C104" i="30"/>
  <c r="D103" i="30"/>
  <c r="C103" i="30"/>
  <c r="D102" i="30"/>
  <c r="C102" i="30"/>
  <c r="D101" i="30"/>
  <c r="C101" i="30"/>
  <c r="D100" i="30"/>
  <c r="C100" i="30"/>
  <c r="D99" i="30"/>
  <c r="C99" i="30"/>
  <c r="D98" i="30"/>
  <c r="C98" i="30"/>
  <c r="D97" i="30"/>
  <c r="C97" i="30"/>
  <c r="D96" i="30"/>
  <c r="C96" i="30"/>
  <c r="D95" i="30"/>
  <c r="C95" i="30"/>
  <c r="D94" i="30"/>
  <c r="C94" i="30"/>
  <c r="C93" i="30"/>
  <c r="D93" i="30" s="1"/>
  <c r="C92" i="30"/>
  <c r="D92" i="30" s="1"/>
  <c r="C91" i="30"/>
  <c r="D91" i="30" s="1"/>
  <c r="C90" i="30"/>
  <c r="D90" i="30" s="1"/>
  <c r="C89" i="30"/>
  <c r="D89" i="30" s="1"/>
  <c r="C88" i="30"/>
  <c r="D88" i="30" s="1"/>
  <c r="C87" i="30"/>
  <c r="D87" i="30" s="1"/>
  <c r="C86" i="30"/>
  <c r="D86" i="30" s="1"/>
  <c r="C85" i="30"/>
  <c r="D85" i="30" s="1"/>
  <c r="C84" i="30"/>
  <c r="D84" i="30" s="1"/>
  <c r="C83" i="30"/>
  <c r="D83" i="30" s="1"/>
  <c r="C82" i="30"/>
  <c r="D82" i="30" s="1"/>
  <c r="C81" i="30"/>
  <c r="D81" i="30" s="1"/>
  <c r="C80" i="30"/>
  <c r="D80" i="30" s="1"/>
  <c r="C79" i="30"/>
  <c r="D79" i="30" s="1"/>
  <c r="C78" i="30"/>
  <c r="D78" i="30" s="1"/>
  <c r="C77" i="30"/>
  <c r="D77" i="30" s="1"/>
  <c r="C76" i="30"/>
  <c r="D76" i="30" s="1"/>
  <c r="C75" i="30"/>
  <c r="D75" i="30" s="1"/>
  <c r="C74" i="30"/>
  <c r="D74" i="30" s="1"/>
  <c r="C73" i="30"/>
  <c r="D73" i="30" s="1"/>
  <c r="C72" i="30"/>
  <c r="D72" i="30" s="1"/>
  <c r="C71" i="30"/>
  <c r="D71" i="30" s="1"/>
  <c r="C70" i="30"/>
  <c r="D70" i="30" s="1"/>
  <c r="C69" i="30"/>
  <c r="D69" i="30" s="1"/>
  <c r="C68" i="30"/>
  <c r="D68" i="30" s="1"/>
  <c r="C67" i="30"/>
  <c r="D67" i="30" s="1"/>
  <c r="C66" i="30"/>
  <c r="D66" i="30" s="1"/>
  <c r="C65" i="30"/>
  <c r="D65" i="30" s="1"/>
  <c r="C64" i="30"/>
  <c r="D64" i="30" s="1"/>
  <c r="C63" i="30"/>
  <c r="D63" i="30" s="1"/>
  <c r="C62" i="30"/>
  <c r="D62" i="30" s="1"/>
  <c r="C61" i="30"/>
  <c r="D61" i="30" s="1"/>
  <c r="C60" i="30"/>
  <c r="D60" i="30" s="1"/>
  <c r="C59" i="30"/>
  <c r="D59" i="30" s="1"/>
  <c r="C58" i="30"/>
  <c r="D58" i="30" s="1"/>
  <c r="C57" i="30"/>
  <c r="D57" i="30" s="1"/>
  <c r="C56" i="30"/>
  <c r="D56" i="30" s="1"/>
  <c r="C55" i="30"/>
  <c r="D55" i="30" s="1"/>
  <c r="C54" i="30"/>
  <c r="D54" i="30" s="1"/>
  <c r="C53" i="30"/>
  <c r="D53" i="30" s="1"/>
  <c r="C52" i="30"/>
  <c r="D52" i="30" s="1"/>
  <c r="C51" i="30"/>
  <c r="D51" i="30" s="1"/>
  <c r="C50" i="30"/>
  <c r="D50" i="30" s="1"/>
  <c r="C49" i="30"/>
  <c r="D49" i="30" s="1"/>
  <c r="C48" i="30"/>
  <c r="D48" i="30" s="1"/>
  <c r="C47" i="30"/>
  <c r="D47" i="30" s="1"/>
  <c r="C46" i="30"/>
  <c r="D46" i="30" s="1"/>
  <c r="C45" i="30"/>
  <c r="D45" i="30" s="1"/>
  <c r="C44" i="30"/>
  <c r="D44" i="30" s="1"/>
  <c r="C43" i="30"/>
  <c r="D43" i="30" s="1"/>
  <c r="C42" i="30"/>
  <c r="D42" i="30" s="1"/>
  <c r="C41" i="30"/>
  <c r="D41" i="30" s="1"/>
  <c r="C40" i="30"/>
  <c r="D40" i="30" s="1"/>
  <c r="C39" i="30"/>
  <c r="D39" i="30" s="1"/>
  <c r="C38" i="30"/>
  <c r="D38" i="30" s="1"/>
  <c r="C37" i="30"/>
  <c r="D37" i="30" s="1"/>
  <c r="C36" i="30"/>
  <c r="D36" i="30" s="1"/>
  <c r="C35" i="30"/>
  <c r="D35" i="30" s="1"/>
  <c r="C34" i="30"/>
  <c r="D34" i="30" s="1"/>
  <c r="C33" i="30"/>
  <c r="D33" i="30" s="1"/>
  <c r="C32" i="30"/>
  <c r="D32" i="30" s="1"/>
  <c r="C31" i="30"/>
  <c r="D31" i="30" s="1"/>
  <c r="C30" i="30"/>
  <c r="D30" i="30" s="1"/>
  <c r="C29" i="30"/>
  <c r="D29" i="30" s="1"/>
  <c r="C28" i="30"/>
  <c r="D28" i="30" s="1"/>
  <c r="C27" i="30"/>
  <c r="D27" i="30" s="1"/>
  <c r="C26" i="30"/>
  <c r="D26" i="30" s="1"/>
  <c r="C25" i="30"/>
  <c r="D25" i="30" s="1"/>
  <c r="C24" i="30"/>
  <c r="D24" i="30" s="1"/>
  <c r="C23" i="30"/>
  <c r="D23" i="30" s="1"/>
  <c r="C22" i="30"/>
  <c r="D22" i="30" s="1"/>
  <c r="C21" i="30"/>
  <c r="D21" i="30" s="1"/>
  <c r="C20" i="30"/>
  <c r="D20" i="30" s="1"/>
  <c r="C19" i="30"/>
  <c r="D19" i="30" s="1"/>
  <c r="C18" i="30"/>
  <c r="D18" i="30" s="1"/>
  <c r="C17" i="30"/>
  <c r="D17" i="30" s="1"/>
  <c r="C16" i="30"/>
  <c r="D16" i="30" s="1"/>
  <c r="C15" i="30"/>
  <c r="D15" i="30" s="1"/>
  <c r="C14" i="30"/>
  <c r="D14" i="30" s="1"/>
  <c r="C13" i="30"/>
  <c r="D13" i="30" s="1"/>
  <c r="C12" i="30"/>
  <c r="D12" i="30" s="1"/>
  <c r="C11" i="30"/>
  <c r="D11" i="30" s="1"/>
  <c r="C10" i="30"/>
  <c r="D10" i="30" s="1"/>
  <c r="C9" i="30"/>
  <c r="D9" i="30" s="1"/>
  <c r="C8" i="30"/>
  <c r="D8" i="30" s="1"/>
  <c r="C7" i="30"/>
  <c r="D7" i="30" s="1"/>
  <c r="C6" i="30"/>
  <c r="D6" i="30" s="1"/>
  <c r="C5" i="30"/>
  <c r="D5" i="30" s="1"/>
  <c r="C4" i="30" l="1"/>
  <c r="D4" i="30" s="1"/>
  <c r="C35" i="40" l="1"/>
  <c r="C36" i="40" s="1"/>
  <c r="K32" i="40" l="1"/>
  <c r="L32" i="40"/>
  <c r="J32" i="40"/>
  <c r="I32" i="40"/>
  <c r="H32" i="40"/>
  <c r="G32" i="40"/>
  <c r="F32" i="40"/>
  <c r="E32" i="40"/>
  <c r="D32" i="40"/>
  <c r="C32" i="40"/>
  <c r="J28" i="40" l="1"/>
  <c r="I28" i="40"/>
  <c r="H28" i="40"/>
  <c r="G28" i="40"/>
  <c r="F28" i="40"/>
  <c r="E28" i="40"/>
  <c r="D28" i="40"/>
  <c r="C28" i="40"/>
  <c r="J27" i="40"/>
  <c r="I27" i="40"/>
  <c r="H27" i="40"/>
  <c r="G27" i="40"/>
  <c r="F27" i="40"/>
  <c r="E27" i="40"/>
  <c r="D27" i="40"/>
  <c r="C27" i="40"/>
  <c r="L17" i="40"/>
  <c r="K17" i="40"/>
  <c r="J17" i="40"/>
  <c r="I17" i="40"/>
  <c r="H17" i="40"/>
  <c r="G17" i="40"/>
  <c r="F17" i="40"/>
  <c r="E17" i="40"/>
  <c r="D17" i="40"/>
  <c r="C17" i="40"/>
  <c r="L16" i="40"/>
  <c r="L15" i="40"/>
  <c r="K16" i="40"/>
  <c r="K15" i="40"/>
  <c r="J16" i="40"/>
  <c r="J15" i="40"/>
  <c r="I16" i="40"/>
  <c r="I15" i="40"/>
  <c r="H16" i="40"/>
  <c r="H15" i="40"/>
  <c r="G16" i="40"/>
  <c r="G15" i="40"/>
  <c r="F16" i="40"/>
  <c r="F15" i="40"/>
  <c r="E16" i="40"/>
  <c r="E15" i="40"/>
  <c r="D16" i="40"/>
  <c r="D15" i="40"/>
  <c r="C16" i="40"/>
  <c r="C15" i="40"/>
  <c r="D19" i="10" l="1"/>
  <c r="K27" i="40" s="1"/>
  <c r="F18" i="10"/>
  <c r="D18" i="10"/>
  <c r="D19" i="9"/>
  <c r="F18" i="9"/>
  <c r="D18" i="9"/>
  <c r="D19" i="8"/>
  <c r="F18" i="8"/>
  <c r="D18" i="8"/>
  <c r="D19" i="16"/>
  <c r="F18" i="16"/>
  <c r="D18" i="16"/>
  <c r="D19" i="15"/>
  <c r="D18" i="15"/>
  <c r="D19" i="14"/>
  <c r="D18" i="14"/>
  <c r="D19" i="13"/>
  <c r="D18" i="13"/>
  <c r="D19" i="12" l="1"/>
  <c r="D18" i="12"/>
  <c r="D19" i="11"/>
  <c r="D18" i="11"/>
  <c r="D113" i="39"/>
  <c r="F19" i="5" s="1"/>
  <c r="L26" i="40" s="1"/>
  <c r="B113" i="39"/>
  <c r="D19" i="5" s="1"/>
  <c r="L27" i="40" s="1"/>
  <c r="D113" i="38"/>
  <c r="F19" i="10" s="1"/>
  <c r="K26" i="40" s="1"/>
  <c r="B113" i="38"/>
  <c r="D117" i="37"/>
  <c r="F19" i="9" s="1"/>
  <c r="J26" i="40" s="1"/>
  <c r="B117" i="37"/>
  <c r="D127" i="36"/>
  <c r="F19" i="8" s="1"/>
  <c r="I26" i="40" s="1"/>
  <c r="B127" i="36"/>
  <c r="D135" i="35"/>
  <c r="F19" i="16" s="1"/>
  <c r="H26" i="40" s="1"/>
  <c r="B135" i="35"/>
  <c r="D136" i="34"/>
  <c r="F19" i="15" s="1"/>
  <c r="G26" i="40" s="1"/>
  <c r="B136" i="34"/>
  <c r="D148" i="33"/>
  <c r="F19" i="14" s="1"/>
  <c r="F26" i="40" s="1"/>
  <c r="B148" i="33"/>
  <c r="D163" i="32"/>
  <c r="F19" i="13" s="1"/>
  <c r="E26" i="40" s="1"/>
  <c r="B163" i="32"/>
  <c r="D183" i="31"/>
  <c r="F19" i="12" s="1"/>
  <c r="D26" i="40" s="1"/>
  <c r="B183" i="31"/>
  <c r="D182" i="30"/>
  <c r="F19" i="11" s="1"/>
  <c r="C26" i="40" s="1"/>
  <c r="B182" i="30"/>
  <c r="D64" i="29"/>
  <c r="F18" i="5" s="1"/>
  <c r="B64" i="29"/>
  <c r="D18" i="5" s="1"/>
  <c r="D65" i="28"/>
  <c r="B65" i="28"/>
  <c r="D66" i="27"/>
  <c r="B66" i="27"/>
  <c r="D67" i="26"/>
  <c r="B67" i="26"/>
  <c r="D62" i="25"/>
  <c r="B62" i="25"/>
  <c r="D55" i="24"/>
  <c r="F18" i="15" s="1"/>
  <c r="B55" i="24"/>
  <c r="D51" i="23"/>
  <c r="F18" i="14" s="1"/>
  <c r="B51" i="23"/>
  <c r="D48" i="22"/>
  <c r="F18" i="13" s="1"/>
  <c r="B48" i="22"/>
  <c r="D48" i="21"/>
  <c r="F18" i="12" s="1"/>
  <c r="B48" i="21"/>
  <c r="B45" i="20"/>
  <c r="D45" i="20"/>
  <c r="F18" i="11" s="1"/>
  <c r="C5" i="12" l="1"/>
  <c r="C5" i="13"/>
  <c r="C5" i="14"/>
  <c r="C5" i="15"/>
  <c r="C5" i="16"/>
  <c r="C5" i="8"/>
  <c r="C5" i="9"/>
  <c r="C5" i="10"/>
  <c r="C5" i="5"/>
  <c r="C5" i="11"/>
  <c r="L38" i="17"/>
  <c r="L50" i="17"/>
  <c r="M50" i="17"/>
  <c r="K50" i="17"/>
  <c r="S49" i="17"/>
  <c r="R49" i="17"/>
  <c r="Q49" i="17"/>
  <c r="P49" i="17"/>
  <c r="O49" i="17"/>
  <c r="N49" i="17"/>
  <c r="M49" i="17"/>
  <c r="L49" i="17"/>
  <c r="K49" i="17"/>
  <c r="K6" i="17"/>
  <c r="K5" i="17"/>
  <c r="K4" i="17"/>
  <c r="K3" i="17"/>
  <c r="N50" i="17" l="1"/>
  <c r="D11" i="5" l="1"/>
  <c r="F11" i="5"/>
  <c r="D11" i="10" l="1"/>
  <c r="F11" i="10"/>
  <c r="D11" i="9"/>
  <c r="F11" i="9"/>
  <c r="D11" i="8"/>
  <c r="F11" i="8"/>
  <c r="D11" i="16"/>
  <c r="F11" i="16"/>
  <c r="D11" i="15"/>
  <c r="F11" i="15"/>
  <c r="D11" i="14"/>
  <c r="F11" i="14"/>
  <c r="F11" i="13"/>
  <c r="G22" i="14"/>
  <c r="G22" i="15"/>
  <c r="G22" i="16"/>
  <c r="G22" i="8"/>
  <c r="G22" i="9"/>
  <c r="G22" i="10"/>
  <c r="G22" i="5"/>
  <c r="G22" i="13"/>
  <c r="G22" i="12"/>
  <c r="G22" i="11"/>
  <c r="F11" i="12"/>
  <c r="D11" i="12"/>
  <c r="E11" i="11" l="1"/>
  <c r="D11" i="11"/>
  <c r="F11" i="11"/>
  <c r="D20" i="16" l="1"/>
  <c r="D13" i="16"/>
  <c r="D5" i="16" s="1"/>
  <c r="E12" i="16"/>
  <c r="G11" i="16"/>
  <c r="G10" i="16"/>
  <c r="E10" i="16"/>
  <c r="D20" i="15"/>
  <c r="D13" i="15"/>
  <c r="E12" i="15" s="1"/>
  <c r="G11" i="15"/>
  <c r="G10" i="15"/>
  <c r="D5" i="15"/>
  <c r="D20" i="14"/>
  <c r="D13" i="14"/>
  <c r="E11" i="14" s="1"/>
  <c r="G11" i="14"/>
  <c r="G10" i="14"/>
  <c r="D20" i="13"/>
  <c r="D13" i="13"/>
  <c r="E11" i="13" s="1"/>
  <c r="G11" i="13"/>
  <c r="G10" i="13"/>
  <c r="D5" i="13"/>
  <c r="D20" i="12"/>
  <c r="D13" i="12"/>
  <c r="D5" i="12" s="1"/>
  <c r="G11" i="12"/>
  <c r="G10" i="12"/>
  <c r="D20" i="11"/>
  <c r="D13" i="11"/>
  <c r="E12" i="11" s="1"/>
  <c r="G11" i="11"/>
  <c r="G10" i="11"/>
  <c r="D20" i="10"/>
  <c r="D13" i="10"/>
  <c r="E11" i="10" s="1"/>
  <c r="G11" i="10"/>
  <c r="G10" i="10"/>
  <c r="E10" i="10"/>
  <c r="D20" i="9"/>
  <c r="D13" i="9"/>
  <c r="E11" i="9" s="1"/>
  <c r="E12" i="9"/>
  <c r="G11" i="9"/>
  <c r="G10" i="9"/>
  <c r="E10" i="9"/>
  <c r="D5" i="9"/>
  <c r="D20" i="8"/>
  <c r="D13" i="8"/>
  <c r="E11" i="8" s="1"/>
  <c r="E12" i="8"/>
  <c r="G11" i="8"/>
  <c r="G10" i="8"/>
  <c r="E10" i="8"/>
  <c r="D5" i="8"/>
  <c r="D5" i="5"/>
  <c r="D20" i="5"/>
  <c r="D13" i="5"/>
  <c r="E12" i="5"/>
  <c r="G11" i="5"/>
  <c r="G10" i="5"/>
  <c r="E10" i="5"/>
  <c r="D5" i="10" l="1"/>
  <c r="E12" i="10"/>
  <c r="E11" i="16"/>
  <c r="E11" i="15"/>
  <c r="E10" i="15"/>
  <c r="E10" i="14"/>
  <c r="E12" i="14"/>
  <c r="D5" i="14"/>
  <c r="E12" i="13"/>
  <c r="E10" i="13"/>
  <c r="E10" i="12"/>
  <c r="E12" i="12"/>
  <c r="E11" i="12"/>
  <c r="D5" i="11"/>
  <c r="E10" i="11"/>
  <c r="E11" i="5"/>
  <c r="E19" i="8" l="1"/>
  <c r="E18" i="8"/>
  <c r="E19" i="10"/>
  <c r="K28" i="40" s="1"/>
  <c r="E18" i="10"/>
  <c r="E19" i="12"/>
  <c r="E18" i="12"/>
  <c r="E19" i="13"/>
  <c r="E18" i="13"/>
  <c r="E19" i="16"/>
  <c r="E18" i="16"/>
  <c r="F20" i="14"/>
  <c r="G20" i="14" s="1"/>
  <c r="F21" i="40" s="1"/>
  <c r="F20" i="13"/>
  <c r="G20" i="13" s="1"/>
  <c r="E21" i="40" s="1"/>
  <c r="F20" i="12"/>
  <c r="G20" i="12" s="1"/>
  <c r="D21" i="40" s="1"/>
  <c r="F20" i="11"/>
  <c r="G20" i="11" s="1"/>
  <c r="C21" i="40" s="1"/>
  <c r="F20" i="10"/>
  <c r="G20" i="10" s="1"/>
  <c r="K21" i="40" s="1"/>
  <c r="F20" i="9"/>
  <c r="G20" i="9" s="1"/>
  <c r="J21" i="40" s="1"/>
  <c r="F20" i="8"/>
  <c r="G20" i="8" s="1"/>
  <c r="I21" i="40" s="1"/>
  <c r="F20" i="16"/>
  <c r="G20" i="16" s="1"/>
  <c r="H21" i="40" s="1"/>
  <c r="F20" i="15"/>
  <c r="G20" i="15" s="1"/>
  <c r="G21" i="40" s="1"/>
  <c r="F20" i="5"/>
  <c r="G20" i="5" s="1"/>
  <c r="L21" i="40" s="1"/>
  <c r="E19" i="5"/>
  <c r="L28" i="40" s="1"/>
  <c r="E18" i="5"/>
  <c r="E19" i="9"/>
  <c r="E18" i="9"/>
  <c r="E18" i="11"/>
  <c r="E19" i="11"/>
  <c r="E18" i="14"/>
  <c r="E19" i="14"/>
  <c r="E19" i="15"/>
  <c r="E18" i="15"/>
</calcChain>
</file>

<file path=xl/sharedStrings.xml><?xml version="1.0" encoding="utf-8"?>
<sst xmlns="http://schemas.openxmlformats.org/spreadsheetml/2006/main" count="3369" uniqueCount="491">
  <si>
    <t>Resource</t>
  </si>
  <si>
    <t xml:space="preserve">Fuel Mix </t>
  </si>
  <si>
    <t>WA Dept. of Commerce Fuel Mix Report =</t>
  </si>
  <si>
    <r>
      <t>Short Tons CO</t>
    </r>
    <r>
      <rPr>
        <vertAlign val="subscript"/>
        <sz val="11"/>
        <color theme="1"/>
        <rFont val="Calibri"/>
        <family val="2"/>
        <scheme val="minor"/>
      </rPr>
      <t>2</t>
    </r>
  </si>
  <si>
    <r>
      <t>Tons CO</t>
    </r>
    <r>
      <rPr>
        <vertAlign val="subscript"/>
        <sz val="11"/>
        <color theme="1"/>
        <rFont val="Calibri"/>
        <family val="2"/>
        <scheme val="minor"/>
      </rPr>
      <t>2</t>
    </r>
  </si>
  <si>
    <t xml:space="preserve">Short </t>
  </si>
  <si>
    <r>
      <t>lbs CO</t>
    </r>
    <r>
      <rPr>
        <vertAlign val="subscript"/>
        <sz val="11"/>
        <color theme="1"/>
        <rFont val="Calibri"/>
        <family val="2"/>
        <scheme val="minor"/>
      </rPr>
      <t>2</t>
    </r>
    <r>
      <rPr>
        <sz val="11"/>
        <color theme="1"/>
        <rFont val="Calibri"/>
        <family val="2"/>
        <scheme val="minor"/>
      </rPr>
      <t xml:space="preserve"> per MWh</t>
    </r>
  </si>
  <si>
    <r>
      <t>lbs CO</t>
    </r>
    <r>
      <rPr>
        <b/>
        <vertAlign val="subscript"/>
        <sz val="11"/>
        <color theme="1"/>
        <rFont val="Calibri"/>
        <family val="2"/>
        <scheme val="minor"/>
      </rPr>
      <t>2</t>
    </r>
    <r>
      <rPr>
        <b/>
        <sz val="11"/>
        <color theme="1"/>
        <rFont val="Calibri"/>
        <family val="2"/>
        <scheme val="minor"/>
      </rPr>
      <t>/MWh</t>
    </r>
  </si>
  <si>
    <r>
      <t>Tons CO</t>
    </r>
    <r>
      <rPr>
        <b/>
        <vertAlign val="subscript"/>
        <sz val="11"/>
        <color theme="1"/>
        <rFont val="Calibri"/>
        <family val="2"/>
        <scheme val="minor"/>
      </rPr>
      <t>2</t>
    </r>
  </si>
  <si>
    <t>For Year</t>
  </si>
  <si>
    <t>Known Resources Serving WA Customers</t>
  </si>
  <si>
    <t>Summary Energy and Emissions Intensity Report</t>
  </si>
  <si>
    <t>Residential Customers</t>
  </si>
  <si>
    <t>Total Load Served</t>
  </si>
  <si>
    <t>MWh at Meter</t>
  </si>
  <si>
    <t>Utility :</t>
  </si>
  <si>
    <t>Reporting for year :</t>
  </si>
  <si>
    <t xml:space="preserve">Commercial Customers </t>
  </si>
  <si>
    <t xml:space="preserve">Industrial Customers </t>
  </si>
  <si>
    <t>Busbar MWh</t>
  </si>
  <si>
    <t>Customer</t>
  </si>
  <si>
    <t>Population Served :</t>
  </si>
  <si>
    <t>See UTC Docket UE-131723, General Order R-581, Page 7, Paragraph 19.</t>
  </si>
  <si>
    <t>Avista</t>
  </si>
  <si>
    <t>Pacific Power</t>
  </si>
  <si>
    <t>Puget Sound Energy</t>
  </si>
  <si>
    <t>1990</t>
  </si>
  <si>
    <r>
      <t>1990 Short Tons CO</t>
    </r>
    <r>
      <rPr>
        <vertAlign val="subscript"/>
        <sz val="11"/>
        <color theme="1"/>
        <rFont val="Calibri"/>
        <family val="2"/>
        <scheme val="minor"/>
      </rPr>
      <t>2</t>
    </r>
  </si>
  <si>
    <t>MWh Proportion</t>
  </si>
  <si>
    <t>Percent of</t>
  </si>
  <si>
    <t>Total Load</t>
  </si>
  <si>
    <t>WA MWh</t>
  </si>
  <si>
    <t>Unknown Resources For WA Customers</t>
  </si>
  <si>
    <t>Known Resources Serving WA</t>
  </si>
  <si>
    <t>Unknown Resources Serving WA</t>
  </si>
  <si>
    <t>Count</t>
  </si>
  <si>
    <t>Energy Intensity Metrics</t>
  </si>
  <si>
    <t>Emissions Intensity Metrics</t>
  </si>
  <si>
    <t>Example number, use correct number from cells below.</t>
  </si>
  <si>
    <r>
      <t>% of 1990 CO</t>
    </r>
    <r>
      <rPr>
        <b/>
        <vertAlign val="subscript"/>
        <sz val="11"/>
        <color theme="1"/>
        <rFont val="Calibri"/>
        <family val="2"/>
        <scheme val="minor"/>
      </rPr>
      <t>2</t>
    </r>
  </si>
  <si>
    <t>MWh per Capita</t>
  </si>
  <si>
    <t>MWh per</t>
  </si>
  <si>
    <t>People</t>
  </si>
  <si>
    <t>Kittitas County, Washington</t>
  </si>
  <si>
    <t>Kitsap County, Washington</t>
  </si>
  <si>
    <t>King County, Washington</t>
  </si>
  <si>
    <t>Jefferson County, Washington</t>
  </si>
  <si>
    <t>Island County, Washington</t>
  </si>
  <si>
    <t>Pierce County, Washington</t>
  </si>
  <si>
    <t>Skagit County, Washington</t>
  </si>
  <si>
    <t>Whatcom County, Washington</t>
  </si>
  <si>
    <t>Thurston County, Washington</t>
  </si>
  <si>
    <t>http://www.census.gov/quickfacts/table/HSD310214/53073,53067,53033,53031,53029,53057</t>
  </si>
  <si>
    <t>Population</t>
  </si>
  <si>
    <t>Population estimates, July 1, 2015,  (V2015)</t>
  </si>
  <si>
    <t>Population estimates, July 1, 2014,  (V2014)</t>
  </si>
  <si>
    <t>Population estimates base, April 1, 2010,  (V2015)</t>
  </si>
  <si>
    <t>Population estimates base, April 1, 2010,  (V2014)</t>
  </si>
  <si>
    <t>Population, percent change - April 1, 2010 (estimates base) to July 1, 2015,  (V2015)</t>
  </si>
  <si>
    <t>Population, percent change - April 1, 2010 (estimates base) to July 1, 2014,  (V2014)</t>
  </si>
  <si>
    <t>Population, Census, April 1, 2010</t>
  </si>
  <si>
    <t>Age and Sex</t>
  </si>
  <si>
    <t>Persons under 5 years, percent, July 1, 2014,  (V2014)</t>
  </si>
  <si>
    <t>Persons under 5 years, percent, April 1, 2010</t>
  </si>
  <si>
    <t>Persons under 18 years, percent, July 1, 2014,  (V2014)</t>
  </si>
  <si>
    <t>Persons under 18 years, percent, April 1, 2010</t>
  </si>
  <si>
    <t>Persons 65 years and over, percent,  July 1, 2014,  (V2014)</t>
  </si>
  <si>
    <t>Persons 65 years and over, percent, April 1, 2010</t>
  </si>
  <si>
    <t>Female persons, percent,  July 1, 2014,  (V2014)</t>
  </si>
  <si>
    <t>Female persons, percent, April 1, 2010</t>
  </si>
  <si>
    <t>Race and Hispanic Origin</t>
  </si>
  <si>
    <t>White alone, percent, July 1, 2014,  (V2014)  (a)</t>
  </si>
  <si>
    <t>White alone, percent, April 1, 2010  (a)</t>
  </si>
  <si>
    <t>Black or African American alone, percent, July 1, 2014,  (V2014)  (a)</t>
  </si>
  <si>
    <t>Black or African American alone, percent, April 1, 2010  (a)</t>
  </si>
  <si>
    <t>American Indian and Alaska Native alone, percent, July 1, 2014,  (V2014)  (a)</t>
  </si>
  <si>
    <t>American Indian and Alaska Native alone, percent, April 1, 2010  (a)</t>
  </si>
  <si>
    <t>Asian alone, percent, July 1, 2014,  (V2014)  (a)</t>
  </si>
  <si>
    <t>Asian alone, percent, April 1, 2010  (a)</t>
  </si>
  <si>
    <t>Native Hawaiian and Other Pacific Islander alone, percent, July 1, 2014,  (V2014)  (a)</t>
  </si>
  <si>
    <t>Native Hawaiian and Other Pacific Islander alone, percent, April 1, 2010  (a)</t>
  </si>
  <si>
    <t>Two or More Races, percent, July 1, 2014,  (V2014)</t>
  </si>
  <si>
    <t>Two or More Races, percent, April 1, 2010</t>
  </si>
  <si>
    <t>Hispanic or Latino, percent, July 1, 2014,  (V2014)  (b)</t>
  </si>
  <si>
    <t>Hispanic or Latino, percent, April 1, 2010  (b)</t>
  </si>
  <si>
    <t>White alone, not Hispanic or Latino, percent, July 1, 2014,  (V2014)</t>
  </si>
  <si>
    <t>White alone, not Hispanic or Latino, percent, April 1, 2010</t>
  </si>
  <si>
    <t>Population Characteristics</t>
  </si>
  <si>
    <t>Veterans, 2010-2014</t>
  </si>
  <si>
    <t>Foreign born persons, percent, 2010-2014</t>
  </si>
  <si>
    <t>Housing</t>
  </si>
  <si>
    <t>Housing units,  July 1, 2014,  (V2014)</t>
  </si>
  <si>
    <t>Housing units, April 1, 2010</t>
  </si>
  <si>
    <t>Owner-occupied housing unit rate, 2010-2014</t>
  </si>
  <si>
    <t>Median value of owner-occupied housing units, 2010-2014</t>
  </si>
  <si>
    <t>Median selected monthly owner costs -with a mortgage, 2010-2014</t>
  </si>
  <si>
    <t>Median selected monthly owner costs -without a mortgage, 2010-2014</t>
  </si>
  <si>
    <t>Median gross rent, 2010-2014</t>
  </si>
  <si>
    <t>Building permits, 2014</t>
  </si>
  <si>
    <t>Families and Living Arrangements</t>
  </si>
  <si>
    <t>Households, 2010-2014</t>
  </si>
  <si>
    <t>Persons per household, 2010-2014</t>
  </si>
  <si>
    <t>Living in same house 1 year ago, percent of persons age 1 year+, 2010-2014</t>
  </si>
  <si>
    <t>simple average</t>
  </si>
  <si>
    <t>weighted average</t>
  </si>
  <si>
    <t>Language other than English spoken at home, percent of persons age 5 years+, 2010-2014</t>
  </si>
  <si>
    <t>W/o Jefferson</t>
  </si>
  <si>
    <t>Education</t>
  </si>
  <si>
    <t>High school graduate or higher, percent of persons age 25 years+, 2010-2014</t>
  </si>
  <si>
    <t>Bachelor's degree or higher, percent of persons age 25 years+, 2010-2014</t>
  </si>
  <si>
    <t>Health</t>
  </si>
  <si>
    <t>With a disability, under age 65 years, percent, 2010-2014</t>
  </si>
  <si>
    <t>Persons  without health insurance, under age 65 years, percent</t>
  </si>
  <si>
    <t>Economy</t>
  </si>
  <si>
    <t>In civilian labor force, total, percent of population age 16 years+, 2010-2014</t>
  </si>
  <si>
    <t>In civilian labor force, female, percent of population age 16 years+, 2010-2014</t>
  </si>
  <si>
    <t xml:space="preserve">Total accommodation and food services sales, 2012 ($1,000) </t>
  </si>
  <si>
    <t>D</t>
  </si>
  <si>
    <t xml:space="preserve">Total health care and social assistance receipts/revenue, 2012 ($1,000) </t>
  </si>
  <si>
    <t xml:space="preserve">Total manufacturers shipments, 2012 ($1,000) </t>
  </si>
  <si>
    <t xml:space="preserve">Total merchant wholesaler sales, 2012 ($1,000) </t>
  </si>
  <si>
    <t xml:space="preserve">Total retail sales, 2012 ($1,000) </t>
  </si>
  <si>
    <t xml:space="preserve">Total retail sales per capita, 2012 </t>
  </si>
  <si>
    <t>Transportation</t>
  </si>
  <si>
    <t>Mean travel time to work (minutes), workers age 16 years+, 2010-2014</t>
  </si>
  <si>
    <t>Income and Poverty</t>
  </si>
  <si>
    <t>Median household income (in 2014 dollars), 2010-2014</t>
  </si>
  <si>
    <t>Per capita income in past 12 months (in 2014 dollars), 2010-2014</t>
  </si>
  <si>
    <t>Persons in poverty, percent</t>
  </si>
  <si>
    <t>Businesses</t>
  </si>
  <si>
    <t>Total employer establishments, 2013</t>
  </si>
  <si>
    <t>Total employment, 2013</t>
  </si>
  <si>
    <t>Total annual payroll, 2013</t>
  </si>
  <si>
    <t>Total employment, percent change, 2012-2013</t>
  </si>
  <si>
    <t>Z</t>
  </si>
  <si>
    <t>Total nonemployer establishments, 2013</t>
  </si>
  <si>
    <t>All firms, 2012</t>
  </si>
  <si>
    <t>Men-owned firms, 2012</t>
  </si>
  <si>
    <t>Women-owned firms, 2012</t>
  </si>
  <si>
    <t>Minority-owned firms, 2012</t>
  </si>
  <si>
    <t>Nonminority-owned firms, 2012</t>
  </si>
  <si>
    <t>Veteran-owned firms, 2012</t>
  </si>
  <si>
    <t>Nonveteran-owned firms, 2012</t>
  </si>
  <si>
    <t>Geography</t>
  </si>
  <si>
    <t>Population per square mile, 2010</t>
  </si>
  <si>
    <t>Land area in square miles, 2010</t>
  </si>
  <si>
    <t>FIPS Code</t>
  </si>
  <si>
    <t>"53037"</t>
  </si>
  <si>
    <t>"53035"</t>
  </si>
  <si>
    <t>"53033"</t>
  </si>
  <si>
    <t>"53031"</t>
  </si>
  <si>
    <t>"53029"</t>
  </si>
  <si>
    <t>"53053"</t>
  </si>
  <si>
    <t>"53057"</t>
  </si>
  <si>
    <t>"53073"</t>
  </si>
  <si>
    <t>"53067"</t>
  </si>
  <si>
    <t>This geographic level of poverty and health estimates are not comparable to other geographic levels of these estimates</t>
  </si>
  <si>
    <t>Some estimates presented here come from sample data, and thus have sampling errors that may render some apparent differences between geographies statistically indistinguishable. Click the Quick Info &lt;img style="height:14px;width:14px;" src="/quickfacts/assets/images/info-grey2-selected_hover.png" alt="'i'"&gt; icon to the left of each row in TABLE view to learn about sampling error.</t>
  </si>
  <si>
    <t>The vintage year (e.g., V2015) refers to the final year of the series (2010 thru 2015). Different vintage years of estimates are not comparable.</t>
  </si>
  <si>
    <t>(a) Includes persons reporting only one race</t>
  </si>
  <si>
    <t>(b) Hispanics may be of any race, so also are included in applicable race categories</t>
  </si>
  <si>
    <t>(c) Economic Census - Puerto Rico data are not comparable to U.S. Economic Census data</t>
  </si>
  <si>
    <t>D: Suppressed to avoid disclosure of confidential information</t>
  </si>
  <si>
    <t>F: Fewer than 25 firms</t>
  </si>
  <si>
    <t>FN: Footnote on this item in place of data</t>
  </si>
  <si>
    <t>NA: Not available</t>
  </si>
  <si>
    <t>S: Suppressed; does not meet publication standards</t>
  </si>
  <si>
    <t>X: Not applicable</t>
  </si>
  <si>
    <t>Z: Value greater than zero but less than half unit of measure shown</t>
  </si>
  <si>
    <t>QuickFacts data are derived from: Population Estimates, American Community Survey, Census of Population and Housing, Current Population Survey, Small Area Health Insurance Estimates, Small Area Income and Poverty Estimates, State and County Housing Unit Estimates, County Business Patterns, Nonemployer Statistics, Economic Census, Survey of Business Owners, Building Permits.</t>
  </si>
  <si>
    <t>Persons per household factor</t>
  </si>
  <si>
    <t>Deferral Offsets</t>
  </si>
  <si>
    <t>Avista Energy</t>
  </si>
  <si>
    <t>Avista Nichols Pump</t>
  </si>
  <si>
    <t>Black Creek Hydro</t>
  </si>
  <si>
    <t>BPA</t>
  </si>
  <si>
    <t>Cargill Power Markets</t>
  </si>
  <si>
    <t>Constellation Power Source, Inc.</t>
  </si>
  <si>
    <t>Deviation</t>
  </si>
  <si>
    <t>Douglas County PUD #1</t>
  </si>
  <si>
    <t>Morgan Stanley CG</t>
  </si>
  <si>
    <t>Pacific Gas &amp; Elec - Exchange</t>
  </si>
  <si>
    <t>Powerex - Exchange</t>
  </si>
  <si>
    <t>Powerex Corp.</t>
  </si>
  <si>
    <t>Seattle City Light Marketing</t>
  </si>
  <si>
    <t>Shell Energy (Coral Pwr)</t>
  </si>
  <si>
    <t>Tacoma Power</t>
  </si>
  <si>
    <t>Tacoma, City of</t>
  </si>
  <si>
    <t>TransAlta Energy Marketing</t>
  </si>
  <si>
    <t>Citigroup Energy Inc</t>
  </si>
  <si>
    <t>Exelon Generation Co LLC</t>
  </si>
  <si>
    <t>Storage/Interchange - Out</t>
  </si>
  <si>
    <t>Arizona Public Service</t>
  </si>
  <si>
    <t>ATCO Power Canada</t>
  </si>
  <si>
    <t>Avista Corp. WWP Division</t>
  </si>
  <si>
    <t>Barclays Bank Plc</t>
  </si>
  <si>
    <t>Bear Energy LP</t>
  </si>
  <si>
    <t>Benton County PUD</t>
  </si>
  <si>
    <t>Black Hills Power</t>
  </si>
  <si>
    <t>BNP Paribas Energy Trading</t>
  </si>
  <si>
    <t>Book Outs - EITF 03-11</t>
  </si>
  <si>
    <t>BP Energy Co.</t>
  </si>
  <si>
    <t>British Columbia Transmission Corp</t>
  </si>
  <si>
    <t>Brookfield Energy Marketing</t>
  </si>
  <si>
    <t>Burbank, City of</t>
  </si>
  <si>
    <t>CAISO EESC Load Undistributed Costs</t>
  </si>
  <si>
    <t>California ISO</t>
  </si>
  <si>
    <t>Calpine Energy Services</t>
  </si>
  <si>
    <t>Chelan County PUD #1</t>
  </si>
  <si>
    <t>Cincinnati Gas &amp; Electric Co</t>
  </si>
  <si>
    <t>Cinergy Services</t>
  </si>
  <si>
    <t>City of Idaho Falls</t>
  </si>
  <si>
    <t>Clark Public Utilities</t>
  </si>
  <si>
    <t>Clatskanie PUD</t>
  </si>
  <si>
    <t>Conoco, Inc.</t>
  </si>
  <si>
    <t>CP Energy Marketing (Epcor)</t>
  </si>
  <si>
    <t>Credit Suisse Energy, LLC</t>
  </si>
  <si>
    <t>DB Energy Trading LLC</t>
  </si>
  <si>
    <t>Eagle Energy Partners</t>
  </si>
  <si>
    <t>EDF Trading NA LLC</t>
  </si>
  <si>
    <t>Endure Energy LLC</t>
  </si>
  <si>
    <t>ENMAX Energy Marketing, Inc.</t>
  </si>
  <si>
    <t>Epcor Merchant &amp; Capital</t>
  </si>
  <si>
    <t>Eugene Water &amp; Electric</t>
  </si>
  <si>
    <t>Fortis Energy Marketing &amp; Trading</t>
  </si>
  <si>
    <t>Franklin County PUD #1</t>
  </si>
  <si>
    <t>Grant County PUD #2</t>
  </si>
  <si>
    <t>Grays Harbor PUD #1</t>
  </si>
  <si>
    <t>Highland Energy LLC</t>
  </si>
  <si>
    <t>Hinson Power Company</t>
  </si>
  <si>
    <t>Iberdrola Renewables (PPM Energy)</t>
  </si>
  <si>
    <t>Idaho Falls Power</t>
  </si>
  <si>
    <t>Idaho Power Company</t>
  </si>
  <si>
    <t>Integrys Energy Services, Inc</t>
  </si>
  <si>
    <t>Interchange-out deviation</t>
  </si>
  <si>
    <t>J. Aron &amp; Company</t>
  </si>
  <si>
    <t>JP Morgan Ventures Energy</t>
  </si>
  <si>
    <t>King County</t>
  </si>
  <si>
    <t>Klamath Falls, City of</t>
  </si>
  <si>
    <t>Lehman Bros Commodity Services</t>
  </si>
  <si>
    <t>Los Angeles Dept. Water &amp; Power</t>
  </si>
  <si>
    <t>Louis Dreyfus Energy</t>
  </si>
  <si>
    <t>Macquarie Energy LLC</t>
  </si>
  <si>
    <t>Merrill Lynch Commodities</t>
  </si>
  <si>
    <t>Modesto Irrigation District</t>
  </si>
  <si>
    <t>N. California Power Agency</t>
  </si>
  <si>
    <t>Natur Ener USA</t>
  </si>
  <si>
    <t>New Mexico, Public Service Company</t>
  </si>
  <si>
    <t>NextEra Energy Power Marketing</t>
  </si>
  <si>
    <t>Noble Americas Energy Solutions</t>
  </si>
  <si>
    <t>Noble Americas Gas &amp; Power</t>
  </si>
  <si>
    <t>NorthPoint Energy Solutions, Inc.</t>
  </si>
  <si>
    <t>Northwestern Energy</t>
  </si>
  <si>
    <t>Occidental Power Services</t>
  </si>
  <si>
    <t>Okanogan PUD</t>
  </si>
  <si>
    <t>Pacific Northwest Generatin Coop.</t>
  </si>
  <si>
    <t>Pacific Summit Energy LLC</t>
  </si>
  <si>
    <t>Pacificorp</t>
  </si>
  <si>
    <t>PG&amp;E Energy Trading</t>
  </si>
  <si>
    <t>Pinnacle West Capital Corp</t>
  </si>
  <si>
    <t>Pinnacle West Marketing &amp; Trading</t>
  </si>
  <si>
    <t>Portland General Electric</t>
  </si>
  <si>
    <t>PP&amp;L Montana, LLC.</t>
  </si>
  <si>
    <t>Public Service of Colorado</t>
  </si>
  <si>
    <t>Rainbow Energy Marketing</t>
  </si>
  <si>
    <t>Redding, City of</t>
  </si>
  <si>
    <t>Sacramento Municipal</t>
  </si>
  <si>
    <t>San Diego Gas &amp; Electric</t>
  </si>
  <si>
    <t>Sempra Energy Trading</t>
  </si>
  <si>
    <t>Sierra Pacific Industries</t>
  </si>
  <si>
    <t>Sierra Pacific Power</t>
  </si>
  <si>
    <t>Silicon Valley Pwr - Santa Clara</t>
  </si>
  <si>
    <t>Snohomish County PUD #1</t>
  </si>
  <si>
    <t>Southern Cal - Edison</t>
  </si>
  <si>
    <t>SUEZ Energy Marketing (Tractebel)</t>
  </si>
  <si>
    <t>Sumas Cogeneration</t>
  </si>
  <si>
    <t>Talen Energy (PPL Energy Plus)</t>
  </si>
  <si>
    <t>Tenaska</t>
  </si>
  <si>
    <t>Tenaska Power Services Co.</t>
  </si>
  <si>
    <t>The Energy Authority</t>
  </si>
  <si>
    <t>TransCanada Energy Marketing</t>
  </si>
  <si>
    <t>TransCanada Energy Sales Ltd</t>
  </si>
  <si>
    <t>TransCanada Power Corp.</t>
  </si>
  <si>
    <t>Tri-State Generation and Transmissi</t>
  </si>
  <si>
    <t>Turlock Irrigation District</t>
  </si>
  <si>
    <t>UBS AG</t>
  </si>
  <si>
    <t>Vitol Inc.</t>
  </si>
  <si>
    <t>Western Area Power Association</t>
  </si>
  <si>
    <t>Wild Horse Test Power</t>
  </si>
  <si>
    <t>Williams Power Company</t>
  </si>
  <si>
    <t>Fortis BC</t>
  </si>
  <si>
    <t>Nevada Power Company</t>
  </si>
  <si>
    <t>Synergy Power Marketing</t>
  </si>
  <si>
    <t>Electron</t>
  </si>
  <si>
    <t>Lower Baker</t>
  </si>
  <si>
    <t>Snoqualmie Falls #1</t>
  </si>
  <si>
    <t>Snoqualmie Falls #2</t>
  </si>
  <si>
    <t>Upper Baker</t>
  </si>
  <si>
    <t>Crystal Mountain</t>
  </si>
  <si>
    <t>Encogen</t>
  </si>
  <si>
    <t>Ferndale Co-Generation</t>
  </si>
  <si>
    <t>Freddie #1</t>
  </si>
  <si>
    <t>Fredonia</t>
  </si>
  <si>
    <t>Fredonia 3 &amp; 4</t>
  </si>
  <si>
    <t>Fredrickson 1 &amp; 2</t>
  </si>
  <si>
    <t>Goldendale</t>
  </si>
  <si>
    <t>Hopkins Ridge (W184)</t>
  </si>
  <si>
    <t>Lower Snake River</t>
  </si>
  <si>
    <t>Mint Farm</t>
  </si>
  <si>
    <t>Sumas</t>
  </si>
  <si>
    <t>Whitehorn 2&amp;3</t>
  </si>
  <si>
    <t>Wild Horse (W183)</t>
  </si>
  <si>
    <t>Colstrip 1 &amp; 2</t>
  </si>
  <si>
    <t>Colstrip 3 &amp; 4</t>
  </si>
  <si>
    <t>3 Bar G Wind Turbine #3 LLC</t>
  </si>
  <si>
    <t>BC Hydro (Point Roberts)</t>
  </si>
  <si>
    <t>Bio Energy Washington (BEW)</t>
  </si>
  <si>
    <t>Black Creek Hydro Inc</t>
  </si>
  <si>
    <t>BPA Firm - WNP#3 Exchange</t>
  </si>
  <si>
    <t>CC Solar 1 and CC Solar 2</t>
  </si>
  <si>
    <t>Chelan PUD - RI &amp; RR</t>
  </si>
  <si>
    <t>Chelan PUD - Rock Island Syst #2</t>
  </si>
  <si>
    <t>Chelan PUD - Rocky Reach</t>
  </si>
  <si>
    <t>Douglas PUD - Wells Project</t>
  </si>
  <si>
    <t>Edaleen Dairy LLC</t>
  </si>
  <si>
    <t>Farm Power Lynden LLC</t>
  </si>
  <si>
    <t>Farm Power Rexville LLC</t>
  </si>
  <si>
    <t>Grant PUD - Priest Rapids</t>
  </si>
  <si>
    <t>Grant PUD - Priest Rapids Project</t>
  </si>
  <si>
    <t>Grant PUD - Wanapum</t>
  </si>
  <si>
    <t>Island Community Solar LLC</t>
  </si>
  <si>
    <t>Klamath Falls (Iberdrola)</t>
  </si>
  <si>
    <t>Klondike Wind Power III</t>
  </si>
  <si>
    <t>Knudsen Wind Turbine #1</t>
  </si>
  <si>
    <t>NWestern Energy(MPC) Firm Contract</t>
  </si>
  <si>
    <t>Qualco Energy</t>
  </si>
  <si>
    <t>Rainier Bio Gas</t>
  </si>
  <si>
    <t>Skookumchuck Hydro</t>
  </si>
  <si>
    <t>Smith Creek Hydro</t>
  </si>
  <si>
    <t>Snohomish PUD Conservation</t>
  </si>
  <si>
    <t>Swauk Wind</t>
  </si>
  <si>
    <t>Transalta Centralia Generation LLC</t>
  </si>
  <si>
    <t>Van Dyk - S Holsteins</t>
  </si>
  <si>
    <t>VanderHaak Dairy Digester</t>
  </si>
  <si>
    <t>WASCO Hydro</t>
  </si>
  <si>
    <t>BIO FUEL WA</t>
  </si>
  <si>
    <t>Electron Hydro, LLC</t>
  </si>
  <si>
    <t>Emerald City Renewables</t>
  </si>
  <si>
    <t>Hutchinson Creek</t>
  </si>
  <si>
    <t>Koma Kulshan Associates</t>
  </si>
  <si>
    <t>Lake Washington -- Finn Hill</t>
  </si>
  <si>
    <t>March Point Cogen. - 1 &amp; 2</t>
  </si>
  <si>
    <t>Nooksack</t>
  </si>
  <si>
    <t>Port Townsend Paper Co.</t>
  </si>
  <si>
    <t>Puyallup Energy Recovery Company</t>
  </si>
  <si>
    <t>Spokane MSW</t>
  </si>
  <si>
    <t>Sygitowicz Creek</t>
  </si>
  <si>
    <t>Twin Falls Hydro</t>
  </si>
  <si>
    <t>Weeks Falls</t>
  </si>
  <si>
    <t>MWh / Residential Customer</t>
  </si>
  <si>
    <t>MWh / Commercial Customer</t>
  </si>
  <si>
    <t>MWh per capita</t>
  </si>
  <si>
    <t>Ratio of Annual CO2 : 1990 CO2</t>
  </si>
  <si>
    <t>Annual Emissions (see other file)</t>
  </si>
  <si>
    <t>Annual Emissions CO2 from Unknown Generation</t>
  </si>
  <si>
    <t>Annual MWh delivered from Unknown Generation</t>
  </si>
  <si>
    <t>% Load Served by Unknown Generation</t>
  </si>
  <si>
    <t>Population Served</t>
  </si>
  <si>
    <t>1990 Population Served</t>
  </si>
  <si>
    <t>1990 Residential Customers Served</t>
  </si>
  <si>
    <t>(from 1990 10k)</t>
  </si>
  <si>
    <t>Transalta Contract - Source "Other" and Bookouts</t>
  </si>
  <si>
    <t>Insert Blue Blanks with actual numbers (no links or calculations)</t>
  </si>
  <si>
    <t>Transalta Centralia Generation LLC - Bookout Source Other Adjustment</t>
  </si>
  <si>
    <t>BPA - NWPP Reserve Sharing Energy</t>
  </si>
  <si>
    <t>GRIDFORCE ENERGY MANAGEMENT, LLC.</t>
  </si>
  <si>
    <t>CAISO PRSC Undistributed Costs</t>
  </si>
  <si>
    <t>Colstrip - Energy Imbalance Market</t>
  </si>
  <si>
    <t>Fredonia - Energy Imbalance Market</t>
  </si>
  <si>
    <t>MID-C for Energy Imbalance Market</t>
  </si>
  <si>
    <t>Snoqualmie-Energy Imbalance Market</t>
  </si>
  <si>
    <t>BPA - CA Wind Integration</t>
  </si>
  <si>
    <t>BPA - PTP Transactions</t>
  </si>
  <si>
    <t>BPA - Spin Reserv Requirement</t>
  </si>
  <si>
    <t>BPA IS - Hourly Non-Firm</t>
  </si>
  <si>
    <t>https://www.census.gov/quickfacts/table/PST045216/53057,53053,53029,53033,53035,53037</t>
  </si>
  <si>
    <t>Population estimates, July 1, 2016,  (V2016)</t>
  </si>
  <si>
    <t>Population estimates base, April 1, 2010,  (V2016)</t>
  </si>
  <si>
    <t>Population, percent change - April 1, 2010 (estimates base) to July 1, 2016,  (V2016)</t>
  </si>
  <si>
    <t>Persons under 5 years, percent, July 1, 2015,  (V2015)</t>
  </si>
  <si>
    <t>Persons under 18 years, percent, July 1, 2015,  (V2015)</t>
  </si>
  <si>
    <t>Persons 65 years and over, percent,  July 1, 2015,  (V2015)</t>
  </si>
  <si>
    <t>Female persons, percent,  July 1, 2015,  (V2015)</t>
  </si>
  <si>
    <t>White alone, percent, July 1, 2015,  (V2015)  (a)</t>
  </si>
  <si>
    <t>Black or African American alone, percent, July 1, 2015,  (V2015)  (a)</t>
  </si>
  <si>
    <t>American Indian and Alaska Native alone, percent, July 1, 2015,  (V2015)  (a)</t>
  </si>
  <si>
    <t>Asian alone, percent, July 1, 2015,  (V2015)  (a)</t>
  </si>
  <si>
    <t>Native Hawaiian and Other Pacific Islander alone, percent, July 1, 2015,  (V2015)  (a)</t>
  </si>
  <si>
    <t>Two or More Races, percent, July 1, 2015,  (V2015)</t>
  </si>
  <si>
    <t>Hispanic or Latino, percent, July 1, 2015,  (V2015)  (b)</t>
  </si>
  <si>
    <t>White alone, not Hispanic or Latino, percent, July 1, 2015,  (V2015)</t>
  </si>
  <si>
    <t>Veterans, 2011-2015</t>
  </si>
  <si>
    <t>Foreign born persons, percent, 2011-2015</t>
  </si>
  <si>
    <t>Housing units,  July 1, 2015,  (V2015)</t>
  </si>
  <si>
    <t>Owner-occupied housing unit rate, 2011-2015</t>
  </si>
  <si>
    <t>Median value of owner-occupied housing units, 2011-2015</t>
  </si>
  <si>
    <t>Median selected monthly owner costs -with a mortgage, 2011-2015</t>
  </si>
  <si>
    <t>Median selected monthly owner costs -without a mortgage, 2011-2015</t>
  </si>
  <si>
    <t>Median gross rent, 2011-2015</t>
  </si>
  <si>
    <t>Building permits, 2015</t>
  </si>
  <si>
    <t>Households, 2011-2015</t>
  </si>
  <si>
    <t>Persons per household, 2011-2015</t>
  </si>
  <si>
    <t>Living in same house 1 year ago, percent of persons age 1 year+, 2011-2015</t>
  </si>
  <si>
    <t>Language other than English spoken at home, percent of persons age 5 years+, 2011-2015</t>
  </si>
  <si>
    <t>High school graduate or higher, percent of persons age 25 years+, 2011-2015</t>
  </si>
  <si>
    <t>Bachelor's degree or higher, percent of persons age 25 years+, 2011-2015</t>
  </si>
  <si>
    <t>With a disability, under age 65 years, percent, 2011-2015</t>
  </si>
  <si>
    <t>In civilian labor force, total, percent of population age 16 years+, 2011-2015</t>
  </si>
  <si>
    <t>In civilian labor force, female, percent of population age 16 years+, 2011-2015</t>
  </si>
  <si>
    <t>Total accommodation and food services sales, 2012 ($1,000)  (c)</t>
  </si>
  <si>
    <t>Total health care and social assistance receipts/revenue, 2012 ($1,000)  (c)</t>
  </si>
  <si>
    <t>Total manufacturers shipments, 2012 ($1,000)  (c)</t>
  </si>
  <si>
    <t>Total merchant wholesaler sales, 2012 ($1,000)  (c)</t>
  </si>
  <si>
    <t>Total retail sales, 2012 ($1,000)  (c)</t>
  </si>
  <si>
    <t>Total retail sales per capita, 2012  (c)</t>
  </si>
  <si>
    <t>Mean travel time to work (minutes), workers age 16 years+, 2011-2015</t>
  </si>
  <si>
    <t>Median household income (in 2015 dollars), 2011-2015</t>
  </si>
  <si>
    <t>Per capita income in past 12 months (in 2015 dollars), 2011-2015</t>
  </si>
  <si>
    <t>Total employer establishments, 2015</t>
  </si>
  <si>
    <t>Total employment, 2015</t>
  </si>
  <si>
    <t>Total annual payroll, 2015 ($1,000)</t>
  </si>
  <si>
    <t>Total employment, percent change, 2014-2015</t>
  </si>
  <si>
    <t>Total nonemployer establishments, 2014</t>
  </si>
  <si>
    <t>Energy Keepers Inc.</t>
  </si>
  <si>
    <t>BPA - SCD Hourly NF</t>
  </si>
  <si>
    <t>Blocks Dairy Farm</t>
  </si>
  <si>
    <t>Ikea Solar</t>
  </si>
  <si>
    <t>Previous reports rate = 1,024 lb/MWh, total emissions:</t>
  </si>
  <si>
    <t>short tons</t>
  </si>
  <si>
    <t>Previous reports rate = 1,046 lb/MWh, total emissions:</t>
  </si>
  <si>
    <t>Previous reports rate = 1,002 lb/MWh, total emissions:</t>
  </si>
  <si>
    <t>Persons per household factor 2017 =</t>
  </si>
  <si>
    <t>Encogen 1</t>
  </si>
  <si>
    <t>Encogen 2</t>
  </si>
  <si>
    <t>Encogen 3</t>
  </si>
  <si>
    <t>Ferndale 1</t>
  </si>
  <si>
    <t>Ferndale 2</t>
  </si>
  <si>
    <t>Frederickson 1</t>
  </si>
  <si>
    <t>Frederickson 2</t>
  </si>
  <si>
    <t>Fredonia 1</t>
  </si>
  <si>
    <t>Fredonia 2</t>
  </si>
  <si>
    <t>Fredonia 3</t>
  </si>
  <si>
    <t>Fredonia 4</t>
  </si>
  <si>
    <t>Frederickson Unit 1</t>
  </si>
  <si>
    <t>Whitehorn 2</t>
  </si>
  <si>
    <t>Whitehorn 3</t>
  </si>
  <si>
    <t>MWh</t>
  </si>
  <si>
    <t>Short Tons</t>
  </si>
  <si>
    <t>Total:</t>
  </si>
  <si>
    <t>MWh at Meter - Source 10k</t>
  </si>
  <si>
    <t>Busbar MWh - Calculated</t>
  </si>
  <si>
    <t>Notes:</t>
  </si>
  <si>
    <t>PSE-Owned</t>
  </si>
  <si>
    <t>Firm-Unknown</t>
  </si>
  <si>
    <t>PSE-Owned &amp; Firm Resources Serving WA Customers</t>
  </si>
  <si>
    <t>Type</t>
  </si>
  <si>
    <t>Fuel</t>
  </si>
  <si>
    <t>Hydro</t>
  </si>
  <si>
    <t>Coal</t>
  </si>
  <si>
    <t>Diesel</t>
  </si>
  <si>
    <t>Gas</t>
  </si>
  <si>
    <t>Wind</t>
  </si>
  <si>
    <t>Biogas</t>
  </si>
  <si>
    <t>System</t>
  </si>
  <si>
    <t>Solar</t>
  </si>
  <si>
    <t>Firm Unit-Specific</t>
  </si>
  <si>
    <t>Firm Deliveries (EA Database)</t>
  </si>
  <si>
    <t>PSE-Owned Generation (NERC Generating Availability Data System - GADS)</t>
  </si>
  <si>
    <t>Net-by-Counterparty MWh</t>
  </si>
  <si>
    <r>
      <t>Short Tons CO</t>
    </r>
    <r>
      <rPr>
        <b/>
        <vertAlign val="subscript"/>
        <sz val="11"/>
        <color theme="1"/>
        <rFont val="Calibri"/>
        <family val="2"/>
        <scheme val="minor"/>
      </rPr>
      <t>2</t>
    </r>
  </si>
  <si>
    <r>
      <t>Fuel Mix lbs CO</t>
    </r>
    <r>
      <rPr>
        <b/>
        <vertAlign val="subscript"/>
        <sz val="11"/>
        <color theme="1"/>
        <rFont val="Calibri"/>
        <family val="2"/>
        <scheme val="minor"/>
      </rPr>
      <t>2</t>
    </r>
    <r>
      <rPr>
        <b/>
        <sz val="11"/>
        <color theme="1"/>
        <rFont val="Calibri"/>
        <family val="2"/>
        <scheme val="minor"/>
      </rPr>
      <t>/MWh</t>
    </r>
  </si>
  <si>
    <t>Unknown Resources Serving WA Customers</t>
  </si>
  <si>
    <r>
      <t>Total Short Tons (CO</t>
    </r>
    <r>
      <rPr>
        <vertAlign val="subscript"/>
        <sz val="11"/>
        <color theme="1"/>
        <rFont val="Calibri"/>
        <family val="2"/>
        <scheme val="minor"/>
      </rPr>
      <t>2</t>
    </r>
    <r>
      <rPr>
        <sz val="11"/>
        <color theme="1"/>
        <rFont val="Calibri"/>
        <family val="2"/>
        <scheme val="minor"/>
      </rPr>
      <t>):</t>
    </r>
  </si>
  <si>
    <t>PSE-Own Plus Firm PPA MWh=</t>
  </si>
  <si>
    <t>PSE-Own Plus Firm PPA CO2=</t>
  </si>
  <si>
    <t>PSE-Own Plus Firm PPA Rate=</t>
  </si>
  <si>
    <t xml:space="preserve"> Firm Renewable Total:</t>
  </si>
  <si>
    <t xml:space="preserve">% Firm Renewable: </t>
  </si>
  <si>
    <t>Firm Total:</t>
  </si>
  <si>
    <t>Table 3. Unknown Resources Serving WA Customers</t>
  </si>
  <si>
    <t>Columbia River Long Term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</si>
</sst>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_);_(* \(#,##0.0\);_(* &quot;-&quot;??_);_(@_)"/>
    <numFmt numFmtId="165" formatCode="_(* #,##0_);_(* \(#,##0\);_(* &quot;-&quot;??_);_(@_)"/>
    <numFmt numFmtId="166" formatCode="0.0%"/>
    <numFmt numFmtId="167" formatCode="0.0"/>
    <numFmt numFmtId="168"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u/>
      <sz val="12"/>
      <color theme="10"/>
      <name val="Calibri"/>
      <family val="2"/>
      <scheme val="minor"/>
    </font>
    <font>
      <i/>
      <sz val="11"/>
      <color theme="1"/>
      <name val="Calibri"/>
      <family val="2"/>
      <scheme val="minor"/>
    </font>
    <font>
      <b/>
      <i/>
      <sz val="11"/>
      <color theme="1"/>
      <name val="Calibri"/>
      <family val="2"/>
      <scheme val="minor"/>
    </font>
    <font>
      <i/>
      <sz val="14"/>
      <color theme="1"/>
      <name val="Calibri"/>
      <family val="2"/>
      <scheme val="minor"/>
    </font>
    <font>
      <sz val="11"/>
      <color theme="0"/>
      <name val="Calibri"/>
      <family val="2"/>
      <scheme val="minor"/>
    </font>
    <font>
      <b/>
      <sz val="12"/>
      <color rgb="FF7030A0"/>
      <name val="Calibri"/>
      <family val="2"/>
      <scheme val="minor"/>
    </font>
    <font>
      <sz val="10"/>
      <name val="Arial"/>
      <family val="2"/>
    </font>
    <font>
      <sz val="11"/>
      <color indexed="8"/>
      <name val="Calibri"/>
      <family val="2"/>
    </font>
    <font>
      <sz val="10"/>
      <color rgb="FF000000"/>
      <name val="Arial"/>
      <family val="2"/>
    </font>
    <font>
      <sz val="11"/>
      <color rgb="FFFF0000"/>
      <name val="Calibri"/>
      <family val="2"/>
      <scheme val="minor"/>
    </font>
    <font>
      <sz val="10"/>
      <color indexed="8"/>
      <name val="Calibri"/>
      <family val="2"/>
    </font>
    <font>
      <sz val="10"/>
      <color theme="1"/>
      <name val="Calibri"/>
      <family val="2"/>
      <scheme val="minor"/>
    </font>
    <font>
      <i/>
      <sz val="10"/>
      <color indexed="8"/>
      <name val="Calibri"/>
      <family val="2"/>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7"/>
      </patternFill>
    </fill>
    <fill>
      <patternFill patternType="solid">
        <fgColor theme="6"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2" fillId="3" borderId="0" applyNumberFormat="0" applyBorder="0" applyAlignment="0" applyProtection="0"/>
    <xf numFmtId="43" fontId="14" fillId="0" borderId="0" applyFont="0" applyFill="0" applyBorder="0" applyAlignment="0" applyProtection="0"/>
    <xf numFmtId="0" fontId="15" fillId="0" borderId="0" applyFill="0" applyProtection="0"/>
    <xf numFmtId="0" fontId="14" fillId="0" borderId="0"/>
    <xf numFmtId="0" fontId="16" fillId="0" borderId="0"/>
    <xf numFmtId="0" fontId="14" fillId="0" borderId="0"/>
  </cellStyleXfs>
  <cellXfs count="242">
    <xf numFmtId="0" fontId="0" fillId="0" borderId="0" xfId="0"/>
    <xf numFmtId="0" fontId="0" fillId="0" borderId="0" xfId="0" applyFont="1"/>
    <xf numFmtId="0" fontId="3" fillId="0" borderId="0" xfId="0" applyFont="1"/>
    <xf numFmtId="0" fontId="4" fillId="0" borderId="0" xfId="0" applyFont="1"/>
    <xf numFmtId="0" fontId="0" fillId="0" borderId="0" xfId="0" applyAlignment="1">
      <alignment horizontal="center"/>
    </xf>
    <xf numFmtId="0" fontId="4" fillId="0" borderId="1" xfId="0" applyFont="1" applyBorder="1"/>
    <xf numFmtId="0" fontId="0" fillId="0" borderId="0" xfId="0" applyBorder="1"/>
    <xf numFmtId="0" fontId="3" fillId="0" borderId="0" xfId="0" applyFont="1" applyAlignment="1">
      <alignment horizontal="center"/>
    </xf>
    <xf numFmtId="0" fontId="8" fillId="0" borderId="0" xfId="3" applyFont="1"/>
    <xf numFmtId="0" fontId="0" fillId="0" borderId="2" xfId="0" applyBorder="1"/>
    <xf numFmtId="165" fontId="0" fillId="0" borderId="2" xfId="1" applyNumberFormat="1" applyFont="1" applyBorder="1"/>
    <xf numFmtId="0" fontId="2" fillId="0" borderId="3" xfId="0" applyFont="1" applyBorder="1" applyAlignment="1">
      <alignment horizontal="center"/>
    </xf>
    <xf numFmtId="0" fontId="2" fillId="0" borderId="4" xfId="0" applyFont="1" applyBorder="1" applyAlignment="1">
      <alignment horizontal="center"/>
    </xf>
    <xf numFmtId="0" fontId="0" fillId="0" borderId="4" xfId="0" applyFont="1" applyBorder="1"/>
    <xf numFmtId="165" fontId="0" fillId="0" borderId="4" xfId="1" applyNumberFormat="1" applyFont="1" applyBorder="1"/>
    <xf numFmtId="0" fontId="0" fillId="0" borderId="5" xfId="0" applyBorder="1"/>
    <xf numFmtId="165" fontId="0" fillId="0" borderId="5" xfId="1" applyNumberFormat="1" applyFont="1" applyBorder="1"/>
    <xf numFmtId="165" fontId="0" fillId="0" borderId="6" xfId="0" applyNumberFormat="1" applyBorder="1"/>
    <xf numFmtId="0" fontId="0" fillId="0" borderId="1" xfId="0" applyBorder="1"/>
    <xf numFmtId="166" fontId="0" fillId="0" borderId="2" xfId="2" applyNumberFormat="1" applyFont="1" applyBorder="1" applyAlignment="1">
      <alignment horizontal="center"/>
    </xf>
    <xf numFmtId="0" fontId="0" fillId="0" borderId="2" xfId="0" applyBorder="1" applyAlignment="1">
      <alignment horizontal="center"/>
    </xf>
    <xf numFmtId="0" fontId="2" fillId="0" borderId="7" xfId="0" applyFont="1" applyBorder="1" applyAlignment="1">
      <alignment horizontal="center"/>
    </xf>
    <xf numFmtId="43" fontId="0" fillId="0" borderId="0" xfId="0" applyNumberFormat="1" applyBorder="1" applyAlignment="1">
      <alignment horizontal="center"/>
    </xf>
    <xf numFmtId="165" fontId="0" fillId="0" borderId="0" xfId="1" applyNumberFormat="1" applyFont="1" applyFill="1" applyBorder="1"/>
    <xf numFmtId="0" fontId="0" fillId="0" borderId="0" xfId="0" applyAlignment="1">
      <alignment horizontal="right"/>
    </xf>
    <xf numFmtId="0" fontId="0" fillId="0" borderId="4" xfId="0" applyBorder="1" applyAlignment="1">
      <alignment horizontal="center"/>
    </xf>
    <xf numFmtId="0" fontId="9" fillId="0" borderId="0" xfId="0" applyFont="1"/>
    <xf numFmtId="0" fontId="9" fillId="0" borderId="0" xfId="0" applyFont="1" applyAlignment="1">
      <alignment horizontal="right"/>
    </xf>
    <xf numFmtId="165" fontId="9" fillId="0" borderId="2" xfId="1" applyNumberFormat="1" applyFont="1" applyBorder="1"/>
    <xf numFmtId="0" fontId="0" fillId="0" borderId="3" xfId="0" quotePrefix="1" applyFont="1" applyBorder="1" applyAlignment="1">
      <alignment horizontal="center"/>
    </xf>
    <xf numFmtId="0" fontId="0" fillId="0" borderId="4" xfId="0" applyFont="1" applyBorder="1" applyAlignment="1">
      <alignment horizontal="center"/>
    </xf>
    <xf numFmtId="0" fontId="10" fillId="0" borderId="0" xfId="0" applyFont="1"/>
    <xf numFmtId="0" fontId="0" fillId="0" borderId="8" xfId="0" applyBorder="1" applyAlignment="1">
      <alignment horizontal="center"/>
    </xf>
    <xf numFmtId="0" fontId="0" fillId="2" borderId="2" xfId="0" applyFill="1" applyBorder="1"/>
    <xf numFmtId="165" fontId="0" fillId="2" borderId="2" xfId="1" applyNumberFormat="1" applyFont="1" applyFill="1" applyBorder="1"/>
    <xf numFmtId="0" fontId="0" fillId="2" borderId="2" xfId="0" applyFont="1" applyFill="1" applyBorder="1"/>
    <xf numFmtId="0" fontId="0" fillId="2" borderId="5" xfId="0" applyFont="1" applyFill="1" applyBorder="1"/>
    <xf numFmtId="165" fontId="0" fillId="2" borderId="5" xfId="1" applyNumberFormat="1" applyFont="1" applyFill="1" applyBorder="1"/>
    <xf numFmtId="0" fontId="0" fillId="2" borderId="2" xfId="0" applyFill="1" applyBorder="1" applyAlignment="1">
      <alignment horizontal="center"/>
    </xf>
    <xf numFmtId="165" fontId="0" fillId="2" borderId="10" xfId="1" applyNumberFormat="1" applyFont="1" applyFill="1" applyBorder="1"/>
    <xf numFmtId="0" fontId="2" fillId="0" borderId="2" xfId="0" applyFont="1" applyFill="1" applyBorder="1" applyAlignment="1">
      <alignment horizontal="center"/>
    </xf>
    <xf numFmtId="0" fontId="7" fillId="0" borderId="2" xfId="3" applyBorder="1"/>
    <xf numFmtId="165" fontId="0" fillId="2" borderId="4" xfId="1" applyNumberFormat="1" applyFont="1" applyFill="1" applyBorder="1"/>
    <xf numFmtId="0" fontId="0" fillId="0" borderId="11" xfId="0" applyBorder="1"/>
    <xf numFmtId="0" fontId="0" fillId="0" borderId="12" xfId="0" applyBorder="1"/>
    <xf numFmtId="0" fontId="0" fillId="0" borderId="13" xfId="0" applyBorder="1" applyAlignment="1">
      <alignment horizontal="center"/>
    </xf>
    <xf numFmtId="0" fontId="0" fillId="0" borderId="15" xfId="0" applyBorder="1"/>
    <xf numFmtId="0" fontId="0" fillId="0" borderId="18" xfId="0" applyBorder="1"/>
    <xf numFmtId="0" fontId="0" fillId="0" borderId="19" xfId="0" applyBorder="1"/>
    <xf numFmtId="166" fontId="0" fillId="0" borderId="21" xfId="2" applyNumberFormat="1" applyFont="1" applyBorder="1"/>
    <xf numFmtId="0" fontId="0" fillId="0" borderId="21" xfId="0" applyBorder="1"/>
    <xf numFmtId="0" fontId="0" fillId="0" borderId="22" xfId="0" applyBorder="1"/>
    <xf numFmtId="0" fontId="2" fillId="0" borderId="23" xfId="0" applyFont="1" applyBorder="1" applyAlignment="1">
      <alignment horizontal="center"/>
    </xf>
    <xf numFmtId="0" fontId="0" fillId="0" borderId="14" xfId="0" applyBorder="1"/>
    <xf numFmtId="0" fontId="0" fillId="0" borderId="24" xfId="0" applyBorder="1"/>
    <xf numFmtId="0" fontId="0" fillId="0" borderId="21" xfId="0" applyBorder="1" applyAlignment="1">
      <alignment horizontal="left"/>
    </xf>
    <xf numFmtId="0" fontId="2" fillId="0" borderId="14" xfId="0" applyFont="1" applyBorder="1" applyAlignment="1">
      <alignment horizontal="center"/>
    </xf>
    <xf numFmtId="0" fontId="2" fillId="0" borderId="16" xfId="0" applyFont="1" applyFill="1" applyBorder="1" applyAlignment="1">
      <alignment horizontal="center"/>
    </xf>
    <xf numFmtId="164" fontId="2" fillId="0" borderId="17" xfId="0" applyNumberFormat="1" applyFont="1" applyBorder="1"/>
    <xf numFmtId="165" fontId="2" fillId="0" borderId="2" xfId="1" applyNumberFormat="1" applyFont="1" applyBorder="1"/>
    <xf numFmtId="166" fontId="2" fillId="0" borderId="2" xfId="2" applyNumberFormat="1" applyFont="1" applyBorder="1" applyAlignment="1">
      <alignment horizontal="center"/>
    </xf>
    <xf numFmtId="0" fontId="11" fillId="0" borderId="0" xfId="0" applyFont="1" applyBorder="1"/>
    <xf numFmtId="0" fontId="11" fillId="0" borderId="0" xfId="0" applyFont="1"/>
    <xf numFmtId="0" fontId="0" fillId="0" borderId="25" xfId="0" applyBorder="1"/>
    <xf numFmtId="0" fontId="0" fillId="0" borderId="26" xfId="0" applyBorder="1"/>
    <xf numFmtId="0" fontId="0" fillId="2" borderId="27" xfId="0" applyFill="1" applyBorder="1"/>
    <xf numFmtId="43" fontId="2" fillId="0" borderId="29" xfId="0" applyNumberFormat="1" applyFont="1" applyBorder="1" applyAlignment="1">
      <alignment vertical="center"/>
    </xf>
    <xf numFmtId="0" fontId="0" fillId="0" borderId="0" xfId="0" applyBorder="1" applyAlignment="1">
      <alignment horizontal="center"/>
    </xf>
    <xf numFmtId="0" fontId="0" fillId="0" borderId="0" xfId="0" applyFill="1" applyBorder="1" applyAlignment="1">
      <alignment horizontal="center"/>
    </xf>
    <xf numFmtId="0" fontId="0" fillId="2" borderId="30" xfId="0" applyFill="1" applyBorder="1"/>
    <xf numFmtId="165" fontId="0" fillId="2" borderId="2" xfId="1" applyNumberFormat="1" applyFont="1" applyFill="1" applyBorder="1" applyAlignment="1"/>
    <xf numFmtId="165" fontId="0" fillId="0" borderId="20" xfId="0" applyNumberFormat="1" applyBorder="1" applyAlignment="1"/>
    <xf numFmtId="0" fontId="2" fillId="0" borderId="18" xfId="0" applyFont="1" applyBorder="1" applyAlignment="1">
      <alignment horizontal="center"/>
    </xf>
    <xf numFmtId="0" fontId="0" fillId="0" borderId="31" xfId="0" applyBorder="1"/>
    <xf numFmtId="165" fontId="2" fillId="0" borderId="8" xfId="1" applyNumberFormat="1" applyFont="1" applyBorder="1"/>
    <xf numFmtId="165" fontId="2" fillId="0" borderId="31" xfId="0" applyNumberFormat="1" applyFont="1" applyBorder="1"/>
    <xf numFmtId="0" fontId="2" fillId="0" borderId="32" xfId="0" applyFont="1" applyBorder="1" applyAlignment="1">
      <alignment horizontal="center"/>
    </xf>
    <xf numFmtId="166" fontId="2" fillId="0" borderId="33" xfId="2" applyNumberFormat="1" applyFont="1" applyBorder="1" applyAlignment="1">
      <alignment horizontal="center"/>
    </xf>
    <xf numFmtId="165" fontId="12" fillId="3" borderId="20" xfId="4" applyNumberFormat="1" applyBorder="1" applyAlignment="1">
      <alignment horizontal="center"/>
    </xf>
    <xf numFmtId="0" fontId="0" fillId="0" borderId="0" xfId="0" applyAlignment="1">
      <alignment wrapText="1"/>
    </xf>
    <xf numFmtId="0" fontId="0" fillId="0" borderId="0" xfId="0" applyFill="1" applyAlignment="1" applyProtection="1">
      <alignment wrapText="1"/>
    </xf>
    <xf numFmtId="0" fontId="13" fillId="0" borderId="0" xfId="0" applyFont="1" applyAlignment="1"/>
    <xf numFmtId="0" fontId="0" fillId="0" borderId="0" xfId="0" applyFill="1" applyAlignment="1" applyProtection="1">
      <alignment horizontal="right"/>
    </xf>
    <xf numFmtId="167" fontId="0" fillId="0" borderId="0" xfId="0" applyNumberFormat="1" applyFill="1" applyAlignment="1" applyProtection="1">
      <alignment horizontal="right"/>
    </xf>
    <xf numFmtId="165" fontId="0" fillId="0" borderId="0" xfId="1" applyNumberFormat="1" applyFont="1"/>
    <xf numFmtId="165" fontId="0" fillId="0" borderId="0" xfId="1" applyNumberFormat="1" applyFont="1" applyFill="1" applyAlignment="1" applyProtection="1">
      <alignment horizontal="right"/>
    </xf>
    <xf numFmtId="43" fontId="0" fillId="0" borderId="0" xfId="0" applyNumberFormat="1"/>
    <xf numFmtId="0" fontId="0" fillId="4" borderId="0" xfId="0" applyFill="1" applyAlignment="1">
      <alignment wrapText="1"/>
    </xf>
    <xf numFmtId="0" fontId="0" fillId="4" borderId="0" xfId="0" applyFill="1"/>
    <xf numFmtId="2" fontId="0" fillId="4" borderId="0" xfId="0" applyNumberFormat="1" applyFill="1" applyAlignment="1" applyProtection="1">
      <alignment horizontal="right"/>
    </xf>
    <xf numFmtId="43" fontId="0" fillId="0" borderId="0" xfId="1" applyFont="1"/>
    <xf numFmtId="2" fontId="0" fillId="0" borderId="0" xfId="0" applyNumberFormat="1" applyFill="1" applyAlignment="1" applyProtection="1">
      <alignment horizontal="right"/>
    </xf>
    <xf numFmtId="0" fontId="0" fillId="0" borderId="0" xfId="0" applyFill="1" applyProtection="1"/>
    <xf numFmtId="0" fontId="0" fillId="5" borderId="0" xfId="0" applyFill="1"/>
    <xf numFmtId="43" fontId="0" fillId="5" borderId="0" xfId="0" applyNumberFormat="1" applyFill="1"/>
    <xf numFmtId="0" fontId="4" fillId="5" borderId="0" xfId="0" applyFont="1" applyFill="1" applyAlignment="1">
      <alignment horizontal="left"/>
    </xf>
    <xf numFmtId="165" fontId="0" fillId="0" borderId="37" xfId="1" applyNumberFormat="1" applyFont="1" applyBorder="1"/>
    <xf numFmtId="165" fontId="0" fillId="0" borderId="37" xfId="0" applyNumberFormat="1" applyBorder="1"/>
    <xf numFmtId="1" fontId="0" fillId="0" borderId="2" xfId="0" applyNumberFormat="1" applyBorder="1"/>
    <xf numFmtId="1" fontId="0" fillId="0" borderId="5" xfId="0" applyNumberFormat="1" applyBorder="1"/>
    <xf numFmtId="1" fontId="0" fillId="0" borderId="4" xfId="1" applyNumberFormat="1" applyFont="1" applyBorder="1"/>
    <xf numFmtId="1" fontId="0" fillId="0" borderId="0" xfId="0" applyNumberFormat="1"/>
    <xf numFmtId="4" fontId="0" fillId="0" borderId="0" xfId="0" applyNumberFormat="1"/>
    <xf numFmtId="166" fontId="0" fillId="0" borderId="0" xfId="2" applyNumberFormat="1" applyFont="1"/>
    <xf numFmtId="3" fontId="0" fillId="0" borderId="0" xfId="0" applyNumberFormat="1"/>
    <xf numFmtId="3" fontId="0" fillId="2" borderId="2" xfId="1" applyNumberFormat="1" applyFont="1" applyFill="1" applyBorder="1"/>
    <xf numFmtId="165" fontId="0" fillId="0" borderId="0" xfId="0" applyNumberFormat="1"/>
    <xf numFmtId="0" fontId="17" fillId="0" borderId="0" xfId="0" applyFont="1"/>
    <xf numFmtId="165" fontId="2" fillId="2" borderId="2" xfId="1" applyNumberFormat="1" applyFont="1" applyFill="1" applyBorder="1"/>
    <xf numFmtId="0" fontId="18" fillId="0" borderId="0" xfId="6" applyFont="1" applyFill="1" applyProtection="1"/>
    <xf numFmtId="0" fontId="19" fillId="0" borderId="0" xfId="0" applyFont="1" applyFill="1" applyProtection="1"/>
    <xf numFmtId="0" fontId="18" fillId="0" borderId="0" xfId="6" applyFont="1" applyFill="1" applyBorder="1" applyProtection="1"/>
    <xf numFmtId="0" fontId="19" fillId="0" borderId="0" xfId="0" applyFont="1" applyFill="1" applyBorder="1" applyProtection="1"/>
    <xf numFmtId="0" fontId="20" fillId="0" borderId="0" xfId="6" applyFont="1" applyFill="1" applyProtection="1"/>
    <xf numFmtId="0" fontId="18" fillId="0" borderId="0" xfId="6" applyFont="1" applyFill="1" applyAlignment="1" applyProtection="1">
      <alignment horizontal="right"/>
    </xf>
    <xf numFmtId="0" fontId="19" fillId="0" borderId="0" xfId="0" applyFont="1" applyFill="1" applyAlignment="1" applyProtection="1">
      <alignment horizontal="right"/>
    </xf>
    <xf numFmtId="167" fontId="18" fillId="0" borderId="0" xfId="6" applyNumberFormat="1" applyFont="1" applyFill="1" applyAlignment="1" applyProtection="1">
      <alignment horizontal="right"/>
    </xf>
    <xf numFmtId="167" fontId="19" fillId="0" borderId="0" xfId="0" applyNumberFormat="1" applyFont="1" applyFill="1" applyAlignment="1" applyProtection="1">
      <alignment horizontal="right"/>
    </xf>
    <xf numFmtId="0" fontId="19" fillId="0" borderId="0" xfId="0" applyFont="1"/>
    <xf numFmtId="0" fontId="19" fillId="5" borderId="0" xfId="0" applyFont="1" applyFill="1"/>
    <xf numFmtId="43" fontId="19" fillId="5" borderId="0" xfId="0" applyNumberFormat="1" applyFont="1" applyFill="1"/>
    <xf numFmtId="43" fontId="19" fillId="0" borderId="0" xfId="0" applyNumberFormat="1" applyFont="1"/>
    <xf numFmtId="2" fontId="18" fillId="0" borderId="0" xfId="6" applyNumberFormat="1" applyFont="1" applyFill="1" applyAlignment="1" applyProtection="1">
      <alignment horizontal="right"/>
    </xf>
    <xf numFmtId="2" fontId="19" fillId="0" borderId="0" xfId="0" applyNumberFormat="1" applyFont="1" applyFill="1" applyAlignment="1" applyProtection="1">
      <alignment horizontal="right"/>
    </xf>
    <xf numFmtId="43" fontId="19" fillId="0" borderId="0" xfId="1" applyFont="1"/>
    <xf numFmtId="0" fontId="19" fillId="0" borderId="0" xfId="0" applyFont="1" applyAlignment="1">
      <alignment wrapText="1"/>
    </xf>
    <xf numFmtId="3" fontId="1" fillId="2" borderId="4" xfId="1" applyNumberFormat="1" applyFont="1" applyFill="1" applyBorder="1"/>
    <xf numFmtId="3" fontId="1" fillId="2" borderId="2" xfId="1" applyNumberFormat="1" applyFont="1" applyFill="1" applyBorder="1"/>
    <xf numFmtId="3" fontId="1" fillId="2" borderId="2" xfId="1" applyNumberFormat="1" applyFont="1" applyFill="1" applyBorder="1" applyAlignment="1"/>
    <xf numFmtId="3" fontId="0" fillId="0" borderId="20" xfId="0" applyNumberFormat="1" applyBorder="1" applyAlignment="1"/>
    <xf numFmtId="165" fontId="0" fillId="6" borderId="10" xfId="1" applyNumberFormat="1" applyFont="1" applyFill="1" applyBorder="1"/>
    <xf numFmtId="0" fontId="0" fillId="0" borderId="0" xfId="0" applyAlignment="1">
      <alignment horizontal="left"/>
    </xf>
    <xf numFmtId="165" fontId="0" fillId="0" borderId="0" xfId="1" applyNumberFormat="1" applyFont="1" applyAlignment="1">
      <alignment horizontal="left"/>
    </xf>
    <xf numFmtId="0" fontId="21" fillId="0" borderId="0" xfId="0" applyFont="1"/>
    <xf numFmtId="3" fontId="21" fillId="0" borderId="0" xfId="0" applyNumberFormat="1" applyFont="1"/>
    <xf numFmtId="4" fontId="0" fillId="0" borderId="0" xfId="0" applyNumberFormat="1" applyFill="1"/>
    <xf numFmtId="0" fontId="0" fillId="0" borderId="0" xfId="0" applyFill="1"/>
    <xf numFmtId="166" fontId="0" fillId="0" borderId="0" xfId="2" applyNumberFormat="1" applyFont="1" applyFill="1"/>
    <xf numFmtId="165" fontId="0" fillId="0" borderId="0" xfId="1" applyNumberFormat="1" applyFont="1" applyFill="1"/>
    <xf numFmtId="166" fontId="0" fillId="0" borderId="0" xfId="0" applyNumberFormat="1" applyFill="1"/>
    <xf numFmtId="3" fontId="0" fillId="0" borderId="0" xfId="0" applyNumberFormat="1" applyFill="1"/>
    <xf numFmtId="165" fontId="21" fillId="6" borderId="20" xfId="4" applyNumberFormat="1" applyFont="1" applyFill="1" applyBorder="1" applyAlignment="1">
      <alignment horizontal="center"/>
    </xf>
    <xf numFmtId="0" fontId="4"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0" fillId="0" borderId="2" xfId="0" applyFill="1" applyBorder="1" applyAlignment="1">
      <alignment vertical="center"/>
    </xf>
    <xf numFmtId="0" fontId="0" fillId="0" borderId="0" xfId="0" applyBorder="1" applyAlignment="1">
      <alignment vertical="center"/>
    </xf>
    <xf numFmtId="0" fontId="2" fillId="0" borderId="0" xfId="0" applyFont="1" applyAlignment="1">
      <alignment horizontal="right" vertical="center"/>
    </xf>
    <xf numFmtId="0" fontId="4" fillId="0" borderId="0" xfId="0" applyFont="1" applyFill="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3" fontId="0" fillId="0" borderId="2" xfId="1" applyNumberFormat="1" applyFont="1" applyFill="1" applyBorder="1" applyAlignment="1">
      <alignment horizontal="center" vertical="center"/>
    </xf>
    <xf numFmtId="3" fontId="0" fillId="0" borderId="4" xfId="1" applyNumberFormat="1" applyFont="1" applyFill="1" applyBorder="1" applyAlignment="1">
      <alignment horizontal="center" vertical="center"/>
    </xf>
    <xf numFmtId="3" fontId="0" fillId="0" borderId="0" xfId="1" applyNumberFormat="1" applyFont="1" applyFill="1"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vertical="center" wrapText="1"/>
    </xf>
    <xf numFmtId="0" fontId="0" fillId="0" borderId="4" xfId="0" applyFill="1" applyBorder="1" applyAlignment="1">
      <alignment vertical="center" wrapText="1"/>
    </xf>
    <xf numFmtId="0" fontId="0" fillId="0" borderId="2"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Alignment="1">
      <alignment vertical="center" wrapText="1"/>
    </xf>
    <xf numFmtId="0" fontId="2" fillId="2" borderId="3" xfId="0" applyFont="1" applyFill="1" applyBorder="1" applyAlignment="1">
      <alignment horizontal="center" vertical="center"/>
    </xf>
    <xf numFmtId="0" fontId="0" fillId="0" borderId="3" xfId="0" applyFill="1" applyBorder="1" applyAlignment="1">
      <alignment vertical="center" wrapText="1"/>
    </xf>
    <xf numFmtId="3" fontId="0" fillId="0" borderId="3" xfId="1" applyNumberFormat="1" applyFont="1" applyFill="1" applyBorder="1" applyAlignment="1">
      <alignment horizontal="center" vertical="center"/>
    </xf>
    <xf numFmtId="0" fontId="0" fillId="0" borderId="3" xfId="0" applyBorder="1" applyAlignment="1">
      <alignment horizontal="center" vertical="center"/>
    </xf>
    <xf numFmtId="0" fontId="2" fillId="2" borderId="38" xfId="0" applyFont="1" applyFill="1" applyBorder="1" applyAlignment="1">
      <alignment horizontal="center" vertical="center"/>
    </xf>
    <xf numFmtId="0" fontId="2" fillId="0" borderId="2" xfId="0" applyFont="1" applyFill="1" applyBorder="1" applyAlignment="1">
      <alignment horizontal="center" vertical="center"/>
    </xf>
    <xf numFmtId="0" fontId="0" fillId="2" borderId="2" xfId="0" applyFill="1" applyBorder="1" applyAlignment="1">
      <alignment horizontal="center" vertical="center"/>
    </xf>
    <xf numFmtId="0" fontId="2" fillId="0" borderId="0" xfId="0" applyFont="1" applyBorder="1" applyAlignment="1">
      <alignment horizontal="right" vertical="center"/>
    </xf>
    <xf numFmtId="0" fontId="4" fillId="0" borderId="1" xfId="0" applyFont="1" applyBorder="1" applyAlignment="1">
      <alignment vertical="center"/>
    </xf>
    <xf numFmtId="165" fontId="2" fillId="0" borderId="0" xfId="0" applyNumberFormat="1" applyFont="1" applyBorder="1" applyAlignment="1">
      <alignment horizontal="center" vertical="center"/>
    </xf>
    <xf numFmtId="165" fontId="2" fillId="0" borderId="0" xfId="1"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 xfId="1" applyNumberFormat="1" applyFont="1" applyBorder="1" applyAlignment="1">
      <alignment horizontal="center" vertical="center"/>
    </xf>
    <xf numFmtId="3" fontId="0" fillId="6" borderId="2" xfId="1" applyNumberFormat="1" applyFont="1" applyFill="1" applyBorder="1" applyAlignment="1">
      <alignment horizontal="center" vertical="center"/>
    </xf>
    <xf numFmtId="3" fontId="7" fillId="0" borderId="2" xfId="3" applyNumberFormat="1" applyBorder="1" applyAlignment="1">
      <alignment horizontal="center" vertical="center"/>
    </xf>
    <xf numFmtId="3" fontId="0" fillId="0" borderId="0" xfId="0" applyNumberFormat="1" applyAlignment="1">
      <alignment horizontal="center" vertical="center"/>
    </xf>
    <xf numFmtId="0" fontId="4" fillId="0" borderId="0" xfId="0" applyFont="1" applyFill="1" applyBorder="1" applyAlignment="1">
      <alignment horizontal="left" vertical="center"/>
    </xf>
    <xf numFmtId="0" fontId="8" fillId="0" borderId="0" xfId="3" applyFont="1" applyBorder="1" applyAlignment="1">
      <alignment vertical="center"/>
    </xf>
    <xf numFmtId="168" fontId="2" fillId="0" borderId="17" xfId="0" applyNumberFormat="1" applyFont="1" applyBorder="1" applyAlignment="1">
      <alignment horizontal="center"/>
    </xf>
    <xf numFmtId="168" fontId="0" fillId="0" borderId="18" xfId="0" applyNumberFormat="1" applyBorder="1" applyAlignment="1">
      <alignment horizontal="center"/>
    </xf>
    <xf numFmtId="3" fontId="1" fillId="6" borderId="4" xfId="1" applyNumberFormat="1" applyFont="1" applyFill="1" applyBorder="1" applyAlignment="1">
      <alignment horizontal="center"/>
    </xf>
    <xf numFmtId="3" fontId="0" fillId="6" borderId="2" xfId="1" applyNumberFormat="1" applyFont="1" applyFill="1" applyBorder="1" applyAlignment="1">
      <alignment horizontal="center"/>
    </xf>
    <xf numFmtId="3" fontId="1" fillId="6" borderId="2" xfId="1" applyNumberFormat="1" applyFont="1" applyFill="1" applyBorder="1" applyAlignment="1">
      <alignment horizontal="center"/>
    </xf>
    <xf numFmtId="3" fontId="0" fillId="0" borderId="20" xfId="0" applyNumberFormat="1" applyBorder="1" applyAlignment="1">
      <alignment horizontal="center"/>
    </xf>
    <xf numFmtId="39" fontId="2" fillId="0" borderId="29" xfId="0" applyNumberFormat="1" applyFont="1" applyBorder="1" applyAlignment="1">
      <alignment horizontal="center" vertical="center"/>
    </xf>
    <xf numFmtId="37" fontId="0" fillId="6" borderId="2" xfId="1" applyNumberFormat="1" applyFont="1" applyFill="1" applyBorder="1" applyAlignment="1">
      <alignment horizontal="center"/>
    </xf>
    <xf numFmtId="37" fontId="1" fillId="6" borderId="8" xfId="1" applyNumberFormat="1" applyFont="1" applyFill="1" applyBorder="1" applyAlignment="1">
      <alignment horizontal="center"/>
    </xf>
    <xf numFmtId="37" fontId="2" fillId="0" borderId="31" xfId="0" applyNumberFormat="1" applyFont="1" applyBorder="1" applyAlignment="1">
      <alignment horizontal="center"/>
    </xf>
    <xf numFmtId="37" fontId="1" fillId="6" borderId="2" xfId="1" applyNumberFormat="1" applyFont="1" applyFill="1" applyBorder="1" applyAlignment="1">
      <alignment horizontal="center"/>
    </xf>
    <xf numFmtId="0" fontId="0" fillId="0" borderId="34" xfId="0" applyBorder="1" applyAlignment="1">
      <alignment horizontal="right"/>
    </xf>
    <xf numFmtId="0" fontId="0" fillId="0" borderId="26" xfId="0" applyBorder="1" applyAlignment="1">
      <alignment horizontal="right"/>
    </xf>
    <xf numFmtId="37" fontId="0" fillId="2" borderId="2" xfId="1" applyNumberFormat="1" applyFont="1" applyFill="1" applyBorder="1" applyAlignment="1">
      <alignment horizontal="center"/>
    </xf>
    <xf numFmtId="0" fontId="0" fillId="0" borderId="21" xfId="0" applyBorder="1" applyAlignment="1">
      <alignment horizontal="right"/>
    </xf>
    <xf numFmtId="0" fontId="4" fillId="0" borderId="40" xfId="0" applyFont="1" applyBorder="1"/>
    <xf numFmtId="0" fontId="4" fillId="0" borderId="41" xfId="0" applyFont="1" applyBorder="1"/>
    <xf numFmtId="43" fontId="0" fillId="0" borderId="0" xfId="0" applyNumberFormat="1" applyBorder="1"/>
    <xf numFmtId="165" fontId="0" fillId="0" borderId="0" xfId="0" applyNumberFormat="1" applyBorder="1"/>
    <xf numFmtId="3" fontId="0" fillId="0" borderId="0" xfId="0" applyNumberFormat="1" applyBorder="1"/>
    <xf numFmtId="3" fontId="0" fillId="0" borderId="0" xfId="0" applyNumberFormat="1" applyFill="1" applyBorder="1" applyAlignment="1">
      <alignment horizontal="center" vertical="center"/>
    </xf>
    <xf numFmtId="0" fontId="0" fillId="0" borderId="0" xfId="0" applyBorder="1" applyAlignment="1">
      <alignment vertical="center" wrapText="1"/>
    </xf>
    <xf numFmtId="0" fontId="2" fillId="0" borderId="40" xfId="0" applyFont="1" applyFill="1" applyBorder="1" applyAlignment="1">
      <alignment horizontal="right" vertical="center" wrapText="1"/>
    </xf>
    <xf numFmtId="3" fontId="0" fillId="0" borderId="42" xfId="0" applyNumberFormat="1" applyFill="1" applyBorder="1" applyAlignment="1">
      <alignment horizontal="center" vertical="center"/>
    </xf>
    <xf numFmtId="0" fontId="2" fillId="0" borderId="44" xfId="0" applyFont="1" applyFill="1" applyBorder="1" applyAlignment="1">
      <alignment horizontal="right" vertical="center" wrapText="1"/>
    </xf>
    <xf numFmtId="0" fontId="2" fillId="0" borderId="41" xfId="0" applyFont="1" applyFill="1" applyBorder="1" applyAlignment="1">
      <alignment horizontal="right" vertical="center" wrapText="1"/>
    </xf>
    <xf numFmtId="9" fontId="0" fillId="0" borderId="1" xfId="2" applyFont="1" applyFill="1" applyBorder="1" applyAlignment="1">
      <alignment horizontal="center" vertical="center"/>
    </xf>
    <xf numFmtId="3" fontId="0" fillId="0" borderId="1" xfId="0" applyNumberForma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3" fontId="0" fillId="5" borderId="2" xfId="0" applyNumberFormat="1" applyFill="1" applyBorder="1" applyAlignment="1">
      <alignment horizontal="center" vertical="center"/>
    </xf>
    <xf numFmtId="0" fontId="0" fillId="0" borderId="0" xfId="0" applyFill="1" applyAlignment="1">
      <alignment vertical="center"/>
    </xf>
    <xf numFmtId="3" fontId="19" fillId="0" borderId="0" xfId="0" applyNumberFormat="1" applyFont="1" applyFill="1" applyAlignment="1">
      <alignment horizontal="left" vertical="center"/>
    </xf>
    <xf numFmtId="0" fontId="0" fillId="0" borderId="28" xfId="0" applyBorder="1" applyAlignment="1">
      <alignment horizontal="right"/>
    </xf>
    <xf numFmtId="0" fontId="0" fillId="0" borderId="36" xfId="0" applyBorder="1" applyAlignment="1">
      <alignment horizontal="right"/>
    </xf>
    <xf numFmtId="0" fontId="0" fillId="0" borderId="9" xfId="0" applyBorder="1" applyAlignment="1">
      <alignment horizontal="right"/>
    </xf>
    <xf numFmtId="0" fontId="0" fillId="0" borderId="34" xfId="0" applyBorder="1" applyAlignment="1">
      <alignment horizontal="right"/>
    </xf>
    <xf numFmtId="0" fontId="0" fillId="0" borderId="35" xfId="0" applyBorder="1" applyAlignment="1">
      <alignment horizontal="right"/>
    </xf>
    <xf numFmtId="0" fontId="0" fillId="0" borderId="39" xfId="0" applyBorder="1" applyAlignment="1">
      <alignment horizontal="right"/>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8" xfId="0" applyBorder="1" applyAlignment="1">
      <alignment horizontal="center"/>
    </xf>
    <xf numFmtId="0" fontId="0" fillId="0" borderId="36" xfId="0" applyBorder="1" applyAlignment="1">
      <alignment horizontal="center"/>
    </xf>
    <xf numFmtId="0" fontId="0" fillId="0" borderId="9"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1" xfId="0" applyBorder="1" applyAlignment="1">
      <alignment horizontal="center"/>
    </xf>
    <xf numFmtId="166" fontId="0" fillId="0" borderId="0" xfId="2" applyNumberFormat="1" applyFont="1" applyAlignment="1">
      <alignment horizontal="center" vertical="center"/>
    </xf>
  </cellXfs>
  <cellStyles count="10">
    <cellStyle name="Accent4" xfId="4" builtinId="41"/>
    <cellStyle name="Comma" xfId="1" builtinId="3"/>
    <cellStyle name="Comma 2" xfId="5"/>
    <cellStyle name="Hyperlink" xfId="3" builtinId="8"/>
    <cellStyle name="Normal" xfId="0" builtinId="0"/>
    <cellStyle name="Normal 2" xfId="6"/>
    <cellStyle name="Normal 3" xfId="7"/>
    <cellStyle name="Normal 4" xfId="8"/>
    <cellStyle name="Normal 5"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0.xml"/><Relationship Id="rId18" Type="http://schemas.openxmlformats.org/officeDocument/2006/relationships/worksheet" Target="worksheets/sheet15.xml"/><Relationship Id="rId26" Type="http://schemas.openxmlformats.org/officeDocument/2006/relationships/worksheet" Target="worksheets/sheet23.xml"/><Relationship Id="rId39" Type="http://schemas.openxmlformats.org/officeDocument/2006/relationships/worksheet" Target="worksheets/sheet36.xml"/><Relationship Id="rId21" Type="http://schemas.openxmlformats.org/officeDocument/2006/relationships/worksheet" Target="worksheets/sheet18.xml"/><Relationship Id="rId34" Type="http://schemas.openxmlformats.org/officeDocument/2006/relationships/worksheet" Target="worksheets/sheet31.xml"/><Relationship Id="rId42" Type="http://schemas.openxmlformats.org/officeDocument/2006/relationships/worksheet" Target="worksheets/sheet39.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4.xml"/><Relationship Id="rId2" Type="http://schemas.openxmlformats.org/officeDocument/2006/relationships/chartsheet" Target="chartsheets/sheet2.xml"/><Relationship Id="rId16" Type="http://schemas.openxmlformats.org/officeDocument/2006/relationships/worksheet" Target="worksheets/sheet13.xml"/><Relationship Id="rId29" Type="http://schemas.openxmlformats.org/officeDocument/2006/relationships/worksheet" Target="worksheets/sheet26.xml"/><Relationship Id="rId11" Type="http://schemas.openxmlformats.org/officeDocument/2006/relationships/worksheet" Target="worksheets/sheet8.xml"/><Relationship Id="rId24" Type="http://schemas.openxmlformats.org/officeDocument/2006/relationships/worksheet" Target="worksheets/sheet21.xml"/><Relationship Id="rId32" Type="http://schemas.openxmlformats.org/officeDocument/2006/relationships/worksheet" Target="worksheets/sheet29.xml"/><Relationship Id="rId37" Type="http://schemas.openxmlformats.org/officeDocument/2006/relationships/worksheet" Target="worksheets/sheet34.xml"/><Relationship Id="rId40" Type="http://schemas.openxmlformats.org/officeDocument/2006/relationships/worksheet" Target="worksheets/sheet37.xml"/><Relationship Id="rId45" Type="http://schemas.openxmlformats.org/officeDocument/2006/relationships/styles" Target="styles.xml"/><Relationship Id="rId5" Type="http://schemas.openxmlformats.org/officeDocument/2006/relationships/worksheet" Target="worksheets/sheet2.xml"/><Relationship Id="rId15" Type="http://schemas.openxmlformats.org/officeDocument/2006/relationships/worksheet" Target="worksheets/sheet12.xml"/><Relationship Id="rId23" Type="http://schemas.openxmlformats.org/officeDocument/2006/relationships/worksheet" Target="worksheets/sheet20.xml"/><Relationship Id="rId28" Type="http://schemas.openxmlformats.org/officeDocument/2006/relationships/worksheet" Target="worksheets/sheet25.xml"/><Relationship Id="rId36" Type="http://schemas.openxmlformats.org/officeDocument/2006/relationships/worksheet" Target="worksheets/sheet33.xml"/><Relationship Id="rId49" Type="http://schemas.openxmlformats.org/officeDocument/2006/relationships/customXml" Target="../customXml/item2.xml"/><Relationship Id="rId10" Type="http://schemas.openxmlformats.org/officeDocument/2006/relationships/worksheet" Target="worksheets/sheet7.xml"/><Relationship Id="rId19" Type="http://schemas.openxmlformats.org/officeDocument/2006/relationships/worksheet" Target="worksheets/sheet16.xml"/><Relationship Id="rId31" Type="http://schemas.openxmlformats.org/officeDocument/2006/relationships/worksheet" Target="worksheets/sheet28.xml"/><Relationship Id="rId44" Type="http://schemas.openxmlformats.org/officeDocument/2006/relationships/theme" Target="theme/theme1.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22" Type="http://schemas.openxmlformats.org/officeDocument/2006/relationships/worksheet" Target="worksheets/sheet19.xml"/><Relationship Id="rId27" Type="http://schemas.openxmlformats.org/officeDocument/2006/relationships/worksheet" Target="worksheets/sheet24.xml"/><Relationship Id="rId30" Type="http://schemas.openxmlformats.org/officeDocument/2006/relationships/worksheet" Target="worksheets/sheet27.xml"/><Relationship Id="rId35" Type="http://schemas.openxmlformats.org/officeDocument/2006/relationships/worksheet" Target="worksheets/sheet32.xml"/><Relationship Id="rId43" Type="http://schemas.openxmlformats.org/officeDocument/2006/relationships/worksheet" Target="worksheets/sheet40.xml"/><Relationship Id="rId48" Type="http://schemas.openxmlformats.org/officeDocument/2006/relationships/customXml" Target="../customXml/item1.xml"/><Relationship Id="rId8" Type="http://schemas.openxmlformats.org/officeDocument/2006/relationships/worksheet" Target="worksheets/sheet5.xml"/><Relationship Id="rId51" Type="http://schemas.openxmlformats.org/officeDocument/2006/relationships/customXml" Target="../customXml/item4.xml"/><Relationship Id="rId3" Type="http://schemas.openxmlformats.org/officeDocument/2006/relationships/chartsheet" Target="chartsheets/sheet3.xml"/><Relationship Id="rId12" Type="http://schemas.openxmlformats.org/officeDocument/2006/relationships/worksheet" Target="worksheets/sheet9.xml"/><Relationship Id="rId17" Type="http://schemas.openxmlformats.org/officeDocument/2006/relationships/worksheet" Target="worksheets/sheet14.xml"/><Relationship Id="rId25" Type="http://schemas.openxmlformats.org/officeDocument/2006/relationships/worksheet" Target="worksheets/sheet22.xml"/><Relationship Id="rId33" Type="http://schemas.openxmlformats.org/officeDocument/2006/relationships/worksheet" Target="worksheets/sheet30.xml"/><Relationship Id="rId38" Type="http://schemas.openxmlformats.org/officeDocument/2006/relationships/worksheet" Target="worksheets/sheet35.xml"/><Relationship Id="rId46" Type="http://schemas.openxmlformats.org/officeDocument/2006/relationships/sharedStrings" Target="sharedStrings.xml"/><Relationship Id="rId20" Type="http://schemas.openxmlformats.org/officeDocument/2006/relationships/worksheet" Target="worksheets/sheet17.xml"/><Relationship Id="rId41" Type="http://schemas.openxmlformats.org/officeDocument/2006/relationships/worksheet" Target="worksheets/sheet38.xml"/><Relationship Id="rId1" Type="http://schemas.openxmlformats.org/officeDocument/2006/relationships/chartsheet" Target="chartsheets/sheet1.xml"/><Relationship Id="rId6"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2. Energy</a:t>
            </a:r>
            <a:r>
              <a:rPr lang="en-US" baseline="0"/>
              <a:t> Intensity Metrics</a:t>
            </a:r>
          </a:p>
          <a:p>
            <a:pPr>
              <a:defRPr/>
            </a:pPr>
            <a:r>
              <a:rPr lang="en-US" baseline="0"/>
              <a:t>2008 - 2017</a:t>
            </a:r>
            <a:endParaRPr lang="en-US"/>
          </a:p>
        </c:rich>
      </c:tx>
      <c:layout/>
      <c:overlay val="0"/>
    </c:title>
    <c:autoTitleDeleted val="0"/>
    <c:plotArea>
      <c:layout/>
      <c:barChart>
        <c:barDir val="col"/>
        <c:grouping val="clustered"/>
        <c:varyColors val="0"/>
        <c:ser>
          <c:idx val="0"/>
          <c:order val="0"/>
          <c:tx>
            <c:strRef>
              <c:f>'Chart Data'!$B$15</c:f>
              <c:strCache>
                <c:ptCount val="1"/>
                <c:pt idx="0">
                  <c:v>MWh / Residential Customer</c:v>
                </c:pt>
              </c:strCache>
            </c:strRef>
          </c:tx>
          <c:invertIfNegative val="0"/>
          <c:cat>
            <c:numRef>
              <c:f>'Chart Data'!$E$14:$N$14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Data'!$E$15:$N$15</c:f>
              <c:numCache>
                <c:formatCode>#,##0.00</c:formatCode>
                <c:ptCount val="10"/>
                <c:pt idx="0">
                  <c:v>11.797102529166311</c:v>
                </c:pt>
                <c:pt idx="1">
                  <c:v>11.784421814020705</c:v>
                </c:pt>
                <c:pt idx="2">
                  <c:v>11.201580181401802</c:v>
                </c:pt>
                <c:pt idx="3">
                  <c:v>11.541094537760246</c:v>
                </c:pt>
                <c:pt idx="4">
                  <c:v>11.170064059780811</c:v>
                </c:pt>
                <c:pt idx="5">
                  <c:v>11.202725385720049</c:v>
                </c:pt>
                <c:pt idx="6">
                  <c:v>10.838319239560825</c:v>
                </c:pt>
                <c:pt idx="7">
                  <c:v>10.47012247252351</c:v>
                </c:pt>
                <c:pt idx="8">
                  <c:v>10.404103016129147</c:v>
                </c:pt>
                <c:pt idx="9">
                  <c:v>10.888618742928173</c:v>
                </c:pt>
              </c:numCache>
            </c:numRef>
          </c:val>
        </c:ser>
        <c:ser>
          <c:idx val="1"/>
          <c:order val="1"/>
          <c:tx>
            <c:strRef>
              <c:f>'Chart Data'!$B$16</c:f>
              <c:strCache>
                <c:ptCount val="1"/>
                <c:pt idx="0">
                  <c:v>MWh / Commercial Customer</c:v>
                </c:pt>
              </c:strCache>
            </c:strRef>
          </c:tx>
          <c:invertIfNegative val="0"/>
          <c:cat>
            <c:numRef>
              <c:f>'Chart Data'!$E$14:$N$14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Data'!$E$16:$N$16</c:f>
              <c:numCache>
                <c:formatCode>#,##0.00</c:formatCode>
                <c:ptCount val="10"/>
                <c:pt idx="0">
                  <c:v>78.298037981497899</c:v>
                </c:pt>
                <c:pt idx="1">
                  <c:v>78.68089018774063</c:v>
                </c:pt>
                <c:pt idx="2">
                  <c:v>75.342810310207767</c:v>
                </c:pt>
                <c:pt idx="3">
                  <c:v>75.579212842242498</c:v>
                </c:pt>
                <c:pt idx="4">
                  <c:v>74.278990279337734</c:v>
                </c:pt>
                <c:pt idx="5">
                  <c:v>72.631499852117116</c:v>
                </c:pt>
                <c:pt idx="6">
                  <c:v>71.015493223187221</c:v>
                </c:pt>
                <c:pt idx="7">
                  <c:v>70.253674225146312</c:v>
                </c:pt>
                <c:pt idx="8">
                  <c:v>65.073030573128406</c:v>
                </c:pt>
                <c:pt idx="9">
                  <c:v>67.486131321830541</c:v>
                </c:pt>
              </c:numCache>
            </c:numRef>
          </c:val>
        </c:ser>
        <c:ser>
          <c:idx val="2"/>
          <c:order val="2"/>
          <c:tx>
            <c:strRef>
              <c:f>'Chart Data'!$B$17</c:f>
              <c:strCache>
                <c:ptCount val="1"/>
                <c:pt idx="0">
                  <c:v>MWh per capita</c:v>
                </c:pt>
              </c:strCache>
            </c:strRef>
          </c:tx>
          <c:invertIfNegative val="0"/>
          <c:cat>
            <c:numRef>
              <c:f>'Chart Data'!$E$14:$N$14</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Data'!$E$17:$N$17</c:f>
              <c:numCache>
                <c:formatCode>#,##0.00</c:formatCode>
                <c:ptCount val="10"/>
                <c:pt idx="0">
                  <c:v>9.3308239653625318</c:v>
                </c:pt>
                <c:pt idx="1">
                  <c:v>9.2766426117905105</c:v>
                </c:pt>
                <c:pt idx="2">
                  <c:v>8.856740828627732</c:v>
                </c:pt>
                <c:pt idx="3">
                  <c:v>9.0306954086335427</c:v>
                </c:pt>
                <c:pt idx="4">
                  <c:v>8.8227268118390558</c:v>
                </c:pt>
                <c:pt idx="5">
                  <c:v>8.8172598907468096</c:v>
                </c:pt>
                <c:pt idx="6">
                  <c:v>8.6361694561803777</c:v>
                </c:pt>
                <c:pt idx="7">
                  <c:v>8.4786888416563748</c:v>
                </c:pt>
                <c:pt idx="8">
                  <c:v>8.2899454688770735</c:v>
                </c:pt>
                <c:pt idx="9">
                  <c:v>8.4125580571510721</c:v>
                </c:pt>
              </c:numCache>
            </c:numRef>
          </c:val>
        </c:ser>
        <c:dLbls>
          <c:showLegendKey val="0"/>
          <c:showVal val="0"/>
          <c:showCatName val="0"/>
          <c:showSerName val="0"/>
          <c:showPercent val="0"/>
          <c:showBubbleSize val="0"/>
        </c:dLbls>
        <c:gapWidth val="150"/>
        <c:axId val="203227136"/>
        <c:axId val="203228672"/>
      </c:barChart>
      <c:catAx>
        <c:axId val="203227136"/>
        <c:scaling>
          <c:orientation val="minMax"/>
        </c:scaling>
        <c:delete val="0"/>
        <c:axPos val="b"/>
        <c:numFmt formatCode="General" sourceLinked="1"/>
        <c:majorTickMark val="out"/>
        <c:minorTickMark val="none"/>
        <c:tickLblPos val="nextTo"/>
        <c:crossAx val="203228672"/>
        <c:crosses val="autoZero"/>
        <c:auto val="1"/>
        <c:lblAlgn val="ctr"/>
        <c:lblOffset val="100"/>
        <c:noMultiLvlLbl val="0"/>
      </c:catAx>
      <c:valAx>
        <c:axId val="203228672"/>
        <c:scaling>
          <c:orientation val="minMax"/>
        </c:scaling>
        <c:delete val="0"/>
        <c:axPos val="l"/>
        <c:majorGridlines/>
        <c:title>
          <c:tx>
            <c:rich>
              <a:bodyPr rot="-5400000" vert="horz"/>
              <a:lstStyle/>
              <a:p>
                <a:pPr>
                  <a:defRPr/>
                </a:pPr>
                <a:r>
                  <a:rPr lang="en-US"/>
                  <a:t>MWh per Customer/Capita</a:t>
                </a:r>
              </a:p>
            </c:rich>
          </c:tx>
          <c:layout/>
          <c:overlay val="0"/>
        </c:title>
        <c:numFmt formatCode="#,##0.00" sourceLinked="1"/>
        <c:majorTickMark val="out"/>
        <c:minorTickMark val="none"/>
        <c:tickLblPos val="nextTo"/>
        <c:crossAx val="203227136"/>
        <c:crosses val="autoZero"/>
        <c:crossBetween val="between"/>
      </c:valAx>
    </c:plotArea>
    <c:legend>
      <c:legendPos val="r"/>
      <c:layou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3.</a:t>
            </a:r>
            <a:r>
              <a:rPr lang="en-US" baseline="0"/>
              <a:t> </a:t>
            </a:r>
            <a:r>
              <a:rPr lang="en-US"/>
              <a:t>Ratio of Annual CO2 : 1990 CO2</a:t>
            </a:r>
          </a:p>
        </c:rich>
      </c:tx>
      <c:layout/>
      <c:overlay val="0"/>
    </c:title>
    <c:autoTitleDeleted val="0"/>
    <c:plotArea>
      <c:layout/>
      <c:barChart>
        <c:barDir val="col"/>
        <c:grouping val="clustered"/>
        <c:varyColors val="0"/>
        <c:ser>
          <c:idx val="0"/>
          <c:order val="0"/>
          <c:tx>
            <c:strRef>
              <c:f>'Chart Data'!$B$21</c:f>
              <c:strCache>
                <c:ptCount val="1"/>
                <c:pt idx="0">
                  <c:v>Ratio of Annual CO2 : 1990 CO2</c:v>
                </c:pt>
              </c:strCache>
            </c:strRef>
          </c:tx>
          <c:invertIfNegative val="0"/>
          <c:cat>
            <c:numRef>
              <c:f>'Chart Data'!$E$20:$N$20</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Data'!$E$21:$N$21</c:f>
              <c:numCache>
                <c:formatCode>0.0%</c:formatCode>
                <c:ptCount val="10"/>
                <c:pt idx="0">
                  <c:v>1.5788043875037281</c:v>
                </c:pt>
                <c:pt idx="1">
                  <c:v>1.7506995430677186</c:v>
                </c:pt>
                <c:pt idx="2">
                  <c:v>1.7721242242332382</c:v>
                </c:pt>
                <c:pt idx="3">
                  <c:v>1.4770315005209387</c:v>
                </c:pt>
                <c:pt idx="4">
                  <c:v>1.4489140881699556</c:v>
                </c:pt>
                <c:pt idx="5">
                  <c:v>1.6773802627554961</c:v>
                </c:pt>
                <c:pt idx="6">
                  <c:v>1.5794891421708677</c:v>
                </c:pt>
                <c:pt idx="7">
                  <c:v>1.7163898186671038</c:v>
                </c:pt>
                <c:pt idx="8">
                  <c:v>1.6109812899836427</c:v>
                </c:pt>
                <c:pt idx="9">
                  <c:v>1.6150218390483337</c:v>
                </c:pt>
              </c:numCache>
            </c:numRef>
          </c:val>
        </c:ser>
        <c:dLbls>
          <c:showLegendKey val="0"/>
          <c:showVal val="0"/>
          <c:showCatName val="0"/>
          <c:showSerName val="0"/>
          <c:showPercent val="0"/>
          <c:showBubbleSize val="0"/>
        </c:dLbls>
        <c:gapWidth val="150"/>
        <c:axId val="203411456"/>
        <c:axId val="203412992"/>
      </c:barChart>
      <c:catAx>
        <c:axId val="203411456"/>
        <c:scaling>
          <c:orientation val="minMax"/>
        </c:scaling>
        <c:delete val="0"/>
        <c:axPos val="b"/>
        <c:numFmt formatCode="General" sourceLinked="1"/>
        <c:majorTickMark val="out"/>
        <c:minorTickMark val="none"/>
        <c:tickLblPos val="nextTo"/>
        <c:crossAx val="203412992"/>
        <c:crosses val="autoZero"/>
        <c:auto val="1"/>
        <c:lblAlgn val="ctr"/>
        <c:lblOffset val="100"/>
        <c:noMultiLvlLbl val="0"/>
      </c:catAx>
      <c:valAx>
        <c:axId val="203412992"/>
        <c:scaling>
          <c:orientation val="minMax"/>
        </c:scaling>
        <c:delete val="0"/>
        <c:axPos val="l"/>
        <c:majorGridlines/>
        <c:numFmt formatCode="0.0%" sourceLinked="1"/>
        <c:majorTickMark val="out"/>
        <c:minorTickMark val="none"/>
        <c:tickLblPos val="nextTo"/>
        <c:crossAx val="203411456"/>
        <c:crosses val="autoZero"/>
        <c:crossBetween val="between"/>
      </c:valAx>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4. Unknown Resources: </a:t>
            </a:r>
          </a:p>
          <a:p>
            <a:pPr>
              <a:defRPr/>
            </a:pPr>
            <a:r>
              <a:rPr lang="en-US"/>
              <a:t>Generation Delivered and Attributed Emissions</a:t>
            </a:r>
          </a:p>
        </c:rich>
      </c:tx>
      <c:layout/>
      <c:overlay val="0"/>
    </c:title>
    <c:autoTitleDeleted val="0"/>
    <c:plotArea>
      <c:layout>
        <c:manualLayout>
          <c:layoutTarget val="inner"/>
          <c:xMode val="edge"/>
          <c:yMode val="edge"/>
          <c:x val="0.11681885762708223"/>
          <c:y val="0.12165875752724326"/>
          <c:w val="0.63817116321820189"/>
          <c:h val="0.83167022039497041"/>
        </c:manualLayout>
      </c:layout>
      <c:barChart>
        <c:barDir val="col"/>
        <c:grouping val="clustered"/>
        <c:varyColors val="0"/>
        <c:ser>
          <c:idx val="2"/>
          <c:order val="2"/>
          <c:tx>
            <c:strRef>
              <c:f>'Chart Data'!$B$28</c:f>
              <c:strCache>
                <c:ptCount val="1"/>
                <c:pt idx="0">
                  <c:v>% Load Served by Unknown Generation</c:v>
                </c:pt>
              </c:strCache>
            </c:strRef>
          </c:tx>
          <c:spPr>
            <a:solidFill>
              <a:schemeClr val="bg1"/>
            </a:solidFill>
          </c:spPr>
          <c:invertIfNegative val="0"/>
          <c:dLbls>
            <c:txPr>
              <a:bodyPr/>
              <a:lstStyle/>
              <a:p>
                <a:pPr>
                  <a:defRPr sz="1100">
                    <a:latin typeface="Arial Black" panose="020B0A04020102020204" pitchFamily="34" charset="0"/>
                  </a:defRPr>
                </a:pPr>
                <a:endParaRPr lang="en-US"/>
              </a:p>
            </c:txPr>
            <c:showLegendKey val="0"/>
            <c:showVal val="1"/>
            <c:showCatName val="0"/>
            <c:showSerName val="0"/>
            <c:showPercent val="0"/>
            <c:showBubbleSize val="0"/>
            <c:showLeaderLines val="0"/>
          </c:dLbls>
          <c:cat>
            <c:numRef>
              <c:f>'Chart Data'!$E$25:$N$25</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Data'!$E$28:$N$28</c:f>
              <c:numCache>
                <c:formatCode>0.0%</c:formatCode>
                <c:ptCount val="10"/>
                <c:pt idx="0">
                  <c:v>0.23084386344954821</c:v>
                </c:pt>
                <c:pt idx="1">
                  <c:v>0.18804208399730252</c:v>
                </c:pt>
                <c:pt idx="2">
                  <c:v>0.14097301614139468</c:v>
                </c:pt>
                <c:pt idx="3">
                  <c:v>0.29648525883144472</c:v>
                </c:pt>
                <c:pt idx="4">
                  <c:v>0.34471418124583669</c:v>
                </c:pt>
                <c:pt idx="5">
                  <c:v>0.25773795421716728</c:v>
                </c:pt>
                <c:pt idx="6">
                  <c:v>0.27784740355611037</c:v>
                </c:pt>
                <c:pt idx="7">
                  <c:v>0.17994008242710316</c:v>
                </c:pt>
                <c:pt idx="8">
                  <c:v>0.18416977107073174</c:v>
                </c:pt>
                <c:pt idx="9">
                  <c:v>0.12126760556380684</c:v>
                </c:pt>
              </c:numCache>
            </c:numRef>
          </c:val>
        </c:ser>
        <c:dLbls>
          <c:showLegendKey val="0"/>
          <c:showVal val="0"/>
          <c:showCatName val="0"/>
          <c:showSerName val="0"/>
          <c:showPercent val="0"/>
          <c:showBubbleSize val="0"/>
        </c:dLbls>
        <c:gapWidth val="150"/>
        <c:axId val="203267456"/>
        <c:axId val="203265536"/>
      </c:barChart>
      <c:lineChart>
        <c:grouping val="standard"/>
        <c:varyColors val="0"/>
        <c:ser>
          <c:idx val="1"/>
          <c:order val="1"/>
          <c:tx>
            <c:strRef>
              <c:f>'Chart Data'!$B$27</c:f>
              <c:strCache>
                <c:ptCount val="1"/>
                <c:pt idx="0">
                  <c:v>Annual MWh delivered from Unknown Generation</c:v>
                </c:pt>
              </c:strCache>
            </c:strRef>
          </c:tx>
          <c:spPr>
            <a:ln>
              <a:solidFill>
                <a:srgbClr val="0070C0"/>
              </a:solidFill>
            </a:ln>
          </c:spPr>
          <c:marker>
            <c:symbol val="none"/>
          </c:marker>
          <c:cat>
            <c:numRef>
              <c:f>'Chart Data'!$E$25:$N$25</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Data'!$E$27:$N$27</c:f>
              <c:numCache>
                <c:formatCode>_(* #,##0_);_(* \(#,##0\);_(* "-"??_);_(@_)</c:formatCode>
                <c:ptCount val="10"/>
                <c:pt idx="0">
                  <c:v>5441422.0399999991</c:v>
                </c:pt>
                <c:pt idx="1">
                  <c:v>4408167.4979999997</c:v>
                </c:pt>
                <c:pt idx="2">
                  <c:v>3185182.9120000005</c:v>
                </c:pt>
                <c:pt idx="3">
                  <c:v>6774737.6720000021</c:v>
                </c:pt>
                <c:pt idx="4">
                  <c:v>7727006.4249999989</c:v>
                </c:pt>
                <c:pt idx="5">
                  <c:v>5877232.977</c:v>
                </c:pt>
                <c:pt idx="6">
                  <c:v>6189748.1970000006</c:v>
                </c:pt>
                <c:pt idx="7">
                  <c:v>3964232.602</c:v>
                </c:pt>
                <c:pt idx="8">
                  <c:v>4166128.753</c:v>
                </c:pt>
                <c:pt idx="9">
                  <c:v>2534322.9179999991</c:v>
                </c:pt>
              </c:numCache>
            </c:numRef>
          </c:val>
          <c:smooth val="0"/>
        </c:ser>
        <c:dLbls>
          <c:showLegendKey val="0"/>
          <c:showVal val="0"/>
          <c:showCatName val="0"/>
          <c:showSerName val="0"/>
          <c:showPercent val="0"/>
          <c:showBubbleSize val="0"/>
        </c:dLbls>
        <c:marker val="1"/>
        <c:smooth val="0"/>
        <c:axId val="203253632"/>
        <c:axId val="203255168"/>
      </c:lineChart>
      <c:lineChart>
        <c:grouping val="standard"/>
        <c:varyColors val="0"/>
        <c:ser>
          <c:idx val="0"/>
          <c:order val="0"/>
          <c:tx>
            <c:strRef>
              <c:f>'Chart Data'!$B$26</c:f>
              <c:strCache>
                <c:ptCount val="1"/>
                <c:pt idx="0">
                  <c:v>Annual Emissions CO2 from Unknown Generation</c:v>
                </c:pt>
              </c:strCache>
            </c:strRef>
          </c:tx>
          <c:spPr>
            <a:ln>
              <a:solidFill>
                <a:srgbClr val="FF0000"/>
              </a:solidFill>
            </a:ln>
          </c:spPr>
          <c:marker>
            <c:symbol val="none"/>
          </c:marker>
          <c:cat>
            <c:numRef>
              <c:f>'Chart Data'!$E$25:$N$25</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'Chart Data'!$E$26:$N$26</c:f>
              <c:numCache>
                <c:formatCode>_(* #,##0_);_(* \(#,##0\);_(* "-"??_);_(@_)</c:formatCode>
                <c:ptCount val="10"/>
                <c:pt idx="0">
                  <c:v>2787286.6950858752</c:v>
                </c:pt>
                <c:pt idx="1">
                  <c:v>2465915.3735550479</c:v>
                </c:pt>
                <c:pt idx="2">
                  <c:v>1897917.2298310385</c:v>
                </c:pt>
                <c:pt idx="3">
                  <c:v>3064415.2106302725</c:v>
                </c:pt>
                <c:pt idx="4">
                  <c:v>3489259.0462222076</c:v>
                </c:pt>
                <c:pt idx="5">
                  <c:v>3326881.3430049806</c:v>
                </c:pt>
                <c:pt idx="6">
                  <c:v>3138202.3358790041</c:v>
                </c:pt>
                <c:pt idx="7">
                  <c:v>2128792.9072739994</c:v>
                </c:pt>
                <c:pt idx="8">
                  <c:v>1537602.0515614168</c:v>
                </c:pt>
                <c:pt idx="9">
                  <c:v>1188668.7804200475</c:v>
                </c:pt>
              </c:numCache>
            </c:numRef>
          </c:val>
          <c:smooth val="0"/>
        </c:ser>
        <c:dLbls>
          <c:showLegendKey val="0"/>
          <c:showVal val="0"/>
          <c:showCatName val="0"/>
          <c:showSerName val="0"/>
          <c:showPercent val="0"/>
          <c:showBubbleSize val="0"/>
        </c:dLbls>
        <c:marker val="1"/>
        <c:smooth val="0"/>
        <c:axId val="203267456"/>
        <c:axId val="203265536"/>
      </c:lineChart>
      <c:catAx>
        <c:axId val="203253632"/>
        <c:scaling>
          <c:orientation val="minMax"/>
        </c:scaling>
        <c:delete val="0"/>
        <c:axPos val="b"/>
        <c:numFmt formatCode="General" sourceLinked="1"/>
        <c:majorTickMark val="out"/>
        <c:minorTickMark val="none"/>
        <c:tickLblPos val="nextTo"/>
        <c:crossAx val="203255168"/>
        <c:crosses val="autoZero"/>
        <c:auto val="1"/>
        <c:lblAlgn val="ctr"/>
        <c:lblOffset val="100"/>
        <c:noMultiLvlLbl val="0"/>
      </c:catAx>
      <c:valAx>
        <c:axId val="203255168"/>
        <c:scaling>
          <c:orientation val="minMax"/>
        </c:scaling>
        <c:delete val="0"/>
        <c:axPos val="l"/>
        <c:majorGridlines>
          <c:spPr>
            <a:ln w="0">
              <a:noFill/>
              <a:prstDash val="sysDot"/>
            </a:ln>
          </c:spPr>
        </c:majorGridlines>
        <c:title>
          <c:tx>
            <c:rich>
              <a:bodyPr rot="-5400000" vert="horz"/>
              <a:lstStyle/>
              <a:p>
                <a:pPr>
                  <a:defRPr/>
                </a:pPr>
                <a:r>
                  <a:rPr lang="en-US"/>
                  <a:t>MWh Delivered (Unknown)</a:t>
                </a:r>
              </a:p>
            </c:rich>
          </c:tx>
          <c:layout/>
          <c:overlay val="0"/>
        </c:title>
        <c:numFmt formatCode="_(* #,##0_);_(* \(#,##0\);_(* &quot;-&quot;??_);_(@_)" sourceLinked="1"/>
        <c:majorTickMark val="out"/>
        <c:minorTickMark val="none"/>
        <c:tickLblPos val="nextTo"/>
        <c:crossAx val="203253632"/>
        <c:crosses val="autoZero"/>
        <c:crossBetween val="between"/>
      </c:valAx>
      <c:valAx>
        <c:axId val="203265536"/>
        <c:scaling>
          <c:orientation val="minMax"/>
        </c:scaling>
        <c:delete val="0"/>
        <c:axPos val="r"/>
        <c:title>
          <c:tx>
            <c:rich>
              <a:bodyPr rot="-5400000" vert="horz"/>
              <a:lstStyle/>
              <a:p>
                <a:pPr>
                  <a:defRPr/>
                </a:pPr>
                <a:r>
                  <a:rPr lang="en-US"/>
                  <a:t>CO2 (Short Tons) from Unknown Generation Delivered</a:t>
                </a:r>
              </a:p>
            </c:rich>
          </c:tx>
          <c:layout/>
          <c:overlay val="0"/>
        </c:title>
        <c:numFmt formatCode="#,##0" sourceLinked="0"/>
        <c:majorTickMark val="out"/>
        <c:minorTickMark val="none"/>
        <c:tickLblPos val="nextTo"/>
        <c:crossAx val="203267456"/>
        <c:crosses val="max"/>
        <c:crossBetween val="between"/>
      </c:valAx>
      <c:catAx>
        <c:axId val="203267456"/>
        <c:scaling>
          <c:orientation val="minMax"/>
        </c:scaling>
        <c:delete val="1"/>
        <c:axPos val="b"/>
        <c:numFmt formatCode="General" sourceLinked="1"/>
        <c:majorTickMark val="out"/>
        <c:minorTickMark val="none"/>
        <c:tickLblPos val="nextTo"/>
        <c:crossAx val="203265536"/>
        <c:crosses val="autoZero"/>
        <c:auto val="1"/>
        <c:lblAlgn val="ctr"/>
        <c:lblOffset val="100"/>
        <c:noMultiLvlLbl val="0"/>
      </c:catAx>
    </c:plotArea>
    <c:legend>
      <c:legendPos val="r"/>
      <c:layout>
        <c:manualLayout>
          <c:xMode val="edge"/>
          <c:yMode val="edge"/>
          <c:x val="0.36624308095962493"/>
          <c:y val="0.65135348787863556"/>
          <c:w val="0.21170957247419261"/>
          <c:h val="0.1973957278841724"/>
        </c:manualLayout>
      </c:layout>
      <c:overlay val="0"/>
      <c:spPr>
        <a:solidFill>
          <a:schemeClr val="bg1"/>
        </a:solidFill>
      </c:sp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91" workbookViewId="0"/>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93"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6236" cy="626975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oneCellAnchor>
    <xdr:from>
      <xdr:col>10</xdr:col>
      <xdr:colOff>0</xdr:colOff>
      <xdr:row>9</xdr:row>
      <xdr:rowOff>0</xdr:rowOff>
    </xdr:from>
    <xdr:ext cx="6713802" cy="2972058"/>
    <xdr:pic>
      <xdr:nvPicPr>
        <xdr:cNvPr id="2" name="Picture 1"/>
        <xdr:cNvPicPr>
          <a:picLocks noChangeAspect="1"/>
        </xdr:cNvPicPr>
      </xdr:nvPicPr>
      <xdr:blipFill>
        <a:blip xmlns:r="http://schemas.openxmlformats.org/officeDocument/2006/relationships" r:embed="rId1"/>
        <a:stretch>
          <a:fillRect/>
        </a:stretch>
      </xdr:blipFill>
      <xdr:spPr>
        <a:xfrm>
          <a:off x="9572625" y="1457325"/>
          <a:ext cx="6713802" cy="297205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4677" cy="62680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200650" y="4229100"/>
          <a:ext cx="142875"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51866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commerce.wa.gov/Programs/Energy/Office/Utilities/Pages/FuelMix.asp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commerce.wa.gov/Programs/Energy/Office/Utilities/Pages/FuelMix.aspx"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commerce.wa.gov/Programs/Energy/Office/Utilities/Pages/FuelMix.aspx"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commerce.wa.gov/Programs/Energy/Office/Utilities/Pages/FuelMix.aspx"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www.commerce.wa.gov/Programs/Energy/Office/Utilities/Pages/FuelMix.aspx"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commerce.wa.gov/Programs/Energy/Office/Utilities/Pages/FuelMix.aspx"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www.commerce.wa.gov/Programs/Energy/Office/Utilities/Pages/FuelMix.aspx"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commerce.wa.gov/Programs/Energy/Office/Utilities/Pages/FuelMix.aspx"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commerce.wa.gov/Programs/Energy/Office/Utilities/Pages/FuelMix.aspx" TargetMode="Externa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commerce.wa.gov/Programs/Energy/Office/Utilities/Pages/FuelMix.aspx"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hyperlink" Target="http://www.commerce.wa.gov/Programs/Energy/Office/Utilities/Pages/FuelMix.aspx" TargetMode="Externa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hyperlink" Target="http://www.commerce.wa.gov/Programs/Energy/Office/Utilities/Pages/FuelMix.aspx"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commerce.wa.gov/Programs/Energy/Office/Utilities/Pages/FuelMix.asp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O38"/>
  <sheetViews>
    <sheetView topLeftCell="A4" workbookViewId="0">
      <selection activeCell="I27" sqref="I27"/>
    </sheetView>
  </sheetViews>
  <sheetFormatPr defaultRowHeight="15" x14ac:dyDescent="0.25"/>
  <cols>
    <col min="2" max="2" width="28.5703125" customWidth="1"/>
    <col min="3" max="12" width="13.28515625" bestFit="1" customWidth="1"/>
    <col min="13" max="14" width="13.28515625" customWidth="1"/>
  </cols>
  <sheetData>
    <row r="14" spans="2:14" x14ac:dyDescent="0.25">
      <c r="C14">
        <v>2006</v>
      </c>
      <c r="D14">
        <v>2007</v>
      </c>
      <c r="E14">
        <v>2008</v>
      </c>
      <c r="F14">
        <v>2009</v>
      </c>
      <c r="G14">
        <v>2010</v>
      </c>
      <c r="H14">
        <v>2011</v>
      </c>
      <c r="I14">
        <v>2012</v>
      </c>
      <c r="J14">
        <v>2013</v>
      </c>
      <c r="K14">
        <v>2014</v>
      </c>
      <c r="L14">
        <v>2015</v>
      </c>
      <c r="M14">
        <v>2016</v>
      </c>
      <c r="N14">
        <v>2017</v>
      </c>
    </row>
    <row r="15" spans="2:14" x14ac:dyDescent="0.25">
      <c r="B15" t="s">
        <v>359</v>
      </c>
      <c r="C15" s="102">
        <f>'2006 Summary'!G10</f>
        <v>11.642619433856922</v>
      </c>
      <c r="D15" s="102">
        <f>'2007 Summary'!G10</f>
        <v>11.736941732895646</v>
      </c>
      <c r="E15" s="102">
        <f>'2008 Summary'!G10</f>
        <v>11.797102529166311</v>
      </c>
      <c r="F15" s="102">
        <f>'2009 Summary'!G10</f>
        <v>11.784421814020705</v>
      </c>
      <c r="G15" s="102">
        <f>'2010 Summary'!G10</f>
        <v>11.201580181401802</v>
      </c>
      <c r="H15" s="102">
        <f>'2011 Summary'!G10</f>
        <v>11.541094537760246</v>
      </c>
      <c r="I15" s="102">
        <f>'2012 Summary'!G10</f>
        <v>11.170064059780811</v>
      </c>
      <c r="J15" s="102">
        <f>'2013 Summary'!G10</f>
        <v>11.202725385720049</v>
      </c>
      <c r="K15" s="102">
        <f>'2014 Summary'!G10</f>
        <v>10.838319239560825</v>
      </c>
      <c r="L15" s="102">
        <f>'2015 Summary'!G10</f>
        <v>10.47012247252351</v>
      </c>
      <c r="M15" s="135">
        <f>'2016 Summary'!G10</f>
        <v>10.404103016129147</v>
      </c>
      <c r="N15" s="135">
        <f>'2017 Summary'!G10</f>
        <v>10.888618742928173</v>
      </c>
    </row>
    <row r="16" spans="2:14" x14ac:dyDescent="0.25">
      <c r="B16" t="s">
        <v>360</v>
      </c>
      <c r="C16" s="102">
        <f>'2006 Summary'!G11</f>
        <v>78.825895239678388</v>
      </c>
      <c r="D16" s="102">
        <f>'2007 Summary'!G11</f>
        <v>78.607847603620939</v>
      </c>
      <c r="E16" s="102">
        <f>'2008 Summary'!G11</f>
        <v>78.298037981497899</v>
      </c>
      <c r="F16" s="102">
        <f>'2009 Summary'!G11</f>
        <v>78.68089018774063</v>
      </c>
      <c r="G16" s="102">
        <f>'2010 Summary'!G11</f>
        <v>75.342810310207767</v>
      </c>
      <c r="H16" s="102">
        <f>'2011 Summary'!G11</f>
        <v>75.579212842242498</v>
      </c>
      <c r="I16" s="102">
        <f>'2012 Summary'!G11</f>
        <v>74.278990279337734</v>
      </c>
      <c r="J16" s="102">
        <f>'2013 Summary'!G11</f>
        <v>72.631499852117116</v>
      </c>
      <c r="K16" s="102">
        <f>'2014 Summary'!G11</f>
        <v>71.015493223187221</v>
      </c>
      <c r="L16" s="102">
        <f>'2015 Summary'!G11</f>
        <v>70.253674225146312</v>
      </c>
      <c r="M16" s="135">
        <f>'2016 Summary'!G11</f>
        <v>65.073030573128406</v>
      </c>
      <c r="N16" s="135">
        <f>'2017 Summary'!G11</f>
        <v>67.486131321830541</v>
      </c>
    </row>
    <row r="17" spans="2:15" x14ac:dyDescent="0.25">
      <c r="B17" t="s">
        <v>361</v>
      </c>
      <c r="C17" s="102">
        <f>'2006 Summary'!D5</f>
        <v>9.2504578121039671</v>
      </c>
      <c r="D17" s="102">
        <f>'2007 Summary'!D5</f>
        <v>9.3397397339715553</v>
      </c>
      <c r="E17" s="102">
        <f>'2008 Summary'!D5</f>
        <v>9.3308239653625318</v>
      </c>
      <c r="F17" s="102">
        <f>'2009 Summary'!D5</f>
        <v>9.2766426117905105</v>
      </c>
      <c r="G17" s="102">
        <f>'2010 Summary'!D5</f>
        <v>8.856740828627732</v>
      </c>
      <c r="H17" s="102">
        <f>'2011 Summary'!D5</f>
        <v>9.0306954086335427</v>
      </c>
      <c r="I17" s="102">
        <f>'2012 Summary'!D5</f>
        <v>8.8227268118390558</v>
      </c>
      <c r="J17" s="102">
        <f>'2013 Summary'!D5</f>
        <v>8.8172598907468096</v>
      </c>
      <c r="K17" s="102">
        <f>'2014 Summary'!D5</f>
        <v>8.6361694561803777</v>
      </c>
      <c r="L17" s="102">
        <f>'2015 Summary'!D5</f>
        <v>8.4786888416563748</v>
      </c>
      <c r="M17" s="135">
        <f>'2016 Summary'!D5</f>
        <v>8.2899454688770735</v>
      </c>
      <c r="N17" s="135">
        <f>'2017 Summary'!D5</f>
        <v>8.4125580571510721</v>
      </c>
    </row>
    <row r="18" spans="2:15" x14ac:dyDescent="0.25">
      <c r="B18" s="102"/>
      <c r="M18" s="136"/>
    </row>
    <row r="19" spans="2:15" x14ac:dyDescent="0.25">
      <c r="M19" s="136"/>
    </row>
    <row r="20" spans="2:15" x14ac:dyDescent="0.25">
      <c r="C20">
        <v>2006</v>
      </c>
      <c r="D20">
        <v>2007</v>
      </c>
      <c r="E20">
        <v>2008</v>
      </c>
      <c r="F20">
        <v>2009</v>
      </c>
      <c r="G20">
        <v>2010</v>
      </c>
      <c r="H20">
        <v>2011</v>
      </c>
      <c r="I20">
        <v>2012</v>
      </c>
      <c r="J20">
        <v>2013</v>
      </c>
      <c r="K20">
        <v>2014</v>
      </c>
      <c r="L20">
        <v>2015</v>
      </c>
      <c r="M20" s="136">
        <v>2016</v>
      </c>
      <c r="N20">
        <v>2017</v>
      </c>
      <c r="O20" s="107"/>
    </row>
    <row r="21" spans="2:15" x14ac:dyDescent="0.25">
      <c r="B21" t="s">
        <v>362</v>
      </c>
      <c r="C21" s="103">
        <f>'2006 Summary'!G20</f>
        <v>1.6936600264904533</v>
      </c>
      <c r="D21" s="103">
        <f>'2007 Summary'!G20</f>
        <v>1.7499838949061071</v>
      </c>
      <c r="E21" s="103">
        <f>'2008 Summary'!G20</f>
        <v>1.5788043875037281</v>
      </c>
      <c r="F21" s="103">
        <f>'2009 Summary'!G20</f>
        <v>1.7506995430677186</v>
      </c>
      <c r="G21" s="103">
        <f>'2010 Summary'!G20</f>
        <v>1.7721242242332382</v>
      </c>
      <c r="H21" s="103">
        <f>'2011 Summary'!G20</f>
        <v>1.4770315005209387</v>
      </c>
      <c r="I21" s="103">
        <f>'2012 Summary'!G20</f>
        <v>1.4489140881699556</v>
      </c>
      <c r="J21" s="103">
        <f>'2013 Summary'!G20</f>
        <v>1.6773802627554961</v>
      </c>
      <c r="K21" s="103">
        <f>'2014 Summary'!G20</f>
        <v>1.5794891421708677</v>
      </c>
      <c r="L21" s="103">
        <f>'2015 Summary'!G20</f>
        <v>1.7163898186671038</v>
      </c>
      <c r="M21" s="137">
        <f>'2016 Summary'!G20</f>
        <v>1.6109812899836427</v>
      </c>
      <c r="N21" s="137">
        <f>'2017 Summary'!G20</f>
        <v>1.6150218390483337</v>
      </c>
    </row>
    <row r="22" spans="2:15" x14ac:dyDescent="0.25">
      <c r="M22" s="136"/>
    </row>
    <row r="23" spans="2:15" x14ac:dyDescent="0.25">
      <c r="B23" t="s">
        <v>363</v>
      </c>
      <c r="M23" s="136"/>
    </row>
    <row r="24" spans="2:15" x14ac:dyDescent="0.25">
      <c r="M24" s="136"/>
    </row>
    <row r="25" spans="2:15" x14ac:dyDescent="0.25">
      <c r="C25">
        <v>2006</v>
      </c>
      <c r="D25">
        <v>2007</v>
      </c>
      <c r="E25">
        <v>2008</v>
      </c>
      <c r="F25">
        <v>2009</v>
      </c>
      <c r="G25">
        <v>2010</v>
      </c>
      <c r="H25">
        <v>2011</v>
      </c>
      <c r="I25">
        <v>2012</v>
      </c>
      <c r="J25">
        <v>2013</v>
      </c>
      <c r="K25">
        <v>2014</v>
      </c>
      <c r="L25">
        <v>2015</v>
      </c>
      <c r="M25" s="136">
        <v>2016</v>
      </c>
      <c r="N25" s="136">
        <v>2017</v>
      </c>
    </row>
    <row r="26" spans="2:15" x14ac:dyDescent="0.25">
      <c r="B26" s="24" t="s">
        <v>364</v>
      </c>
      <c r="C26" s="84">
        <f>'2006 Summary'!F19</f>
        <v>3101015.7505617333</v>
      </c>
      <c r="D26" s="84">
        <f>'2007 Summary'!F19</f>
        <v>3136942.2095350744</v>
      </c>
      <c r="E26" s="84">
        <f>'2008 Summary'!F19</f>
        <v>2787286.6950858752</v>
      </c>
      <c r="F26" s="84">
        <f>'2009 Summary'!F19</f>
        <v>2465915.3735550479</v>
      </c>
      <c r="G26" s="84">
        <f>'2010 Summary'!F19</f>
        <v>1897917.2298310385</v>
      </c>
      <c r="H26" s="84">
        <f>'2011 Summary'!F19</f>
        <v>3064415.2106302725</v>
      </c>
      <c r="I26" s="84">
        <f>'2012 Summary'!F19</f>
        <v>3489259.0462222076</v>
      </c>
      <c r="J26" s="84">
        <f>'2013 Summary'!F19</f>
        <v>3326881.3430049806</v>
      </c>
      <c r="K26" s="84">
        <f>'2014 Summary'!F19</f>
        <v>3138202.3358790041</v>
      </c>
      <c r="L26" s="84">
        <f>'2015 Summary'!F19</f>
        <v>2128792.9072739994</v>
      </c>
      <c r="M26" s="138">
        <f>'2016 Summary'!F19</f>
        <v>1537602.0515614168</v>
      </c>
      <c r="N26" s="138">
        <f>'2017 Summary'!F19</f>
        <v>1188668.7804200475</v>
      </c>
    </row>
    <row r="27" spans="2:15" x14ac:dyDescent="0.25">
      <c r="B27" s="24" t="s">
        <v>365</v>
      </c>
      <c r="C27" s="84">
        <f>'2006 Summary'!D19</f>
        <v>6117349.1699999999</v>
      </c>
      <c r="D27" s="84">
        <f>'2007 Summary'!D19</f>
        <v>5220403</v>
      </c>
      <c r="E27" s="84">
        <f>'2008 Summary'!D19</f>
        <v>5441422.0399999991</v>
      </c>
      <c r="F27" s="84">
        <f>'2009 Summary'!D19</f>
        <v>4408167.4979999997</v>
      </c>
      <c r="G27" s="84">
        <f>'2010 Summary'!D19</f>
        <v>3185182.9120000005</v>
      </c>
      <c r="H27" s="84">
        <f>'2011 Summary'!D19</f>
        <v>6774737.6720000021</v>
      </c>
      <c r="I27" s="84">
        <f>'2012 Summary'!D19</f>
        <v>7727006.4249999989</v>
      </c>
      <c r="J27" s="84">
        <f>'2013 Summary'!D19</f>
        <v>5877232.977</v>
      </c>
      <c r="K27" s="84">
        <f>'2014 Summary'!D19</f>
        <v>6189748.1970000006</v>
      </c>
      <c r="L27" s="84">
        <f>'2015 Summary'!D19</f>
        <v>3964232.602</v>
      </c>
      <c r="M27" s="138">
        <f>'2016 Summary'!D19</f>
        <v>4166128.753</v>
      </c>
      <c r="N27" s="138">
        <f>'2017 Summary'!D19</f>
        <v>2534322.9179999991</v>
      </c>
    </row>
    <row r="28" spans="2:15" x14ac:dyDescent="0.25">
      <c r="B28" s="24" t="s">
        <v>366</v>
      </c>
      <c r="C28" s="103">
        <f>'2006 Summary'!E19</f>
        <v>0.27082232980090204</v>
      </c>
      <c r="D28" s="103">
        <f>'2007 Summary'!E19</f>
        <v>0.2250433559609607</v>
      </c>
      <c r="E28" s="103">
        <f>'2008 Summary'!E19</f>
        <v>0.23084386344954821</v>
      </c>
      <c r="F28" s="103">
        <f>'2009 Summary'!E19</f>
        <v>0.18804208399730252</v>
      </c>
      <c r="G28" s="103">
        <f>'2010 Summary'!E19</f>
        <v>0.14097301614139468</v>
      </c>
      <c r="H28" s="103">
        <f>'2011 Summary'!E19</f>
        <v>0.29648525883144472</v>
      </c>
      <c r="I28" s="103">
        <f>'2012 Summary'!E19</f>
        <v>0.34471418124583669</v>
      </c>
      <c r="J28" s="103">
        <f>'2013 Summary'!E19</f>
        <v>0.25773795421716728</v>
      </c>
      <c r="K28" s="103">
        <f>'2014 Summary'!E19</f>
        <v>0.27784740355611037</v>
      </c>
      <c r="L28" s="103">
        <f>'2015 Summary'!E19</f>
        <v>0.17994008242710316</v>
      </c>
      <c r="M28" s="139">
        <f>'2016 Summary'!E19</f>
        <v>0.18416977107073174</v>
      </c>
      <c r="N28" s="139">
        <f>'2017 Summary'!E19</f>
        <v>0.12126760556380684</v>
      </c>
    </row>
    <row r="29" spans="2:15" x14ac:dyDescent="0.25">
      <c r="M29" s="136"/>
    </row>
    <row r="30" spans="2:15" x14ac:dyDescent="0.25">
      <c r="C30" s="102"/>
      <c r="D30" s="102"/>
      <c r="E30" s="102"/>
      <c r="F30" s="102"/>
      <c r="G30" s="102"/>
      <c r="H30" s="102"/>
      <c r="I30" s="102"/>
      <c r="J30" s="102"/>
      <c r="K30" s="102"/>
      <c r="L30" s="102"/>
      <c r="M30" s="136"/>
    </row>
    <row r="31" spans="2:15" x14ac:dyDescent="0.25">
      <c r="C31">
        <v>2006</v>
      </c>
      <c r="D31">
        <v>2007</v>
      </c>
      <c r="E31">
        <v>2008</v>
      </c>
      <c r="F31">
        <v>2009</v>
      </c>
      <c r="G31">
        <v>2010</v>
      </c>
      <c r="H31">
        <v>2011</v>
      </c>
      <c r="I31">
        <v>2012</v>
      </c>
      <c r="J31">
        <v>2013</v>
      </c>
      <c r="K31">
        <v>2014</v>
      </c>
      <c r="L31">
        <v>2015</v>
      </c>
      <c r="M31" s="136">
        <v>2016</v>
      </c>
      <c r="N31" s="136">
        <v>2017</v>
      </c>
    </row>
    <row r="32" spans="2:15" x14ac:dyDescent="0.25">
      <c r="B32" t="s">
        <v>367</v>
      </c>
      <c r="C32" s="104">
        <f>'2006 Summary'!C5</f>
        <v>2267102.1722361753</v>
      </c>
      <c r="D32" s="104">
        <f>'2007 Summary'!C5</f>
        <v>2307477.0404587844</v>
      </c>
      <c r="E32" s="104">
        <f>'2008 Summary'!C5</f>
        <v>2340765.6259595291</v>
      </c>
      <c r="F32" s="104">
        <f>'2009 Summary'!C5</f>
        <v>2360347.5865471303</v>
      </c>
      <c r="G32" s="104">
        <f>'2010 Summary'!C5</f>
        <v>2374059.1947814561</v>
      </c>
      <c r="H32" s="104">
        <f>'2011 Summary'!C5</f>
        <v>2384581.4774588249</v>
      </c>
      <c r="I32" s="104">
        <f>'2012 Summary'!C5</f>
        <v>2396763.2060900475</v>
      </c>
      <c r="J32" s="104">
        <f>'2013 Summary'!C5</f>
        <v>2383976.003935121</v>
      </c>
      <c r="K32" s="104">
        <f>'2014 Summary'!C5</f>
        <v>2393758.2634168519</v>
      </c>
      <c r="L32" s="104">
        <f>'2015 Summary'!C5</f>
        <v>2418978.85192273</v>
      </c>
      <c r="M32" s="140">
        <f>'2016 Summary'!C5</f>
        <v>2466653.4993227008</v>
      </c>
      <c r="N32" s="140">
        <f>'2017 Summary'!C5</f>
        <v>2524399.6957557797</v>
      </c>
    </row>
    <row r="34" spans="2:4" x14ac:dyDescent="0.25">
      <c r="C34">
        <v>1990</v>
      </c>
    </row>
    <row r="35" spans="2:4" x14ac:dyDescent="0.25">
      <c r="B35" t="s">
        <v>369</v>
      </c>
      <c r="C35">
        <f>732291</f>
        <v>732291</v>
      </c>
      <c r="D35" t="s">
        <v>370</v>
      </c>
    </row>
    <row r="36" spans="2:4" x14ac:dyDescent="0.25">
      <c r="B36" t="s">
        <v>368</v>
      </c>
      <c r="C36" s="86">
        <f>C35*'Census Stats'!L38</f>
        <v>1824620.6261171864</v>
      </c>
    </row>
    <row r="38" spans="2:4" x14ac:dyDescent="0.25">
      <c r="B38" s="2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election activeCell="F2" sqref="F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2015</v>
      </c>
    </row>
    <row r="2" spans="1:5" ht="18.75" x14ac:dyDescent="0.3">
      <c r="A2" s="3"/>
      <c r="B2" s="11" t="s">
        <v>31</v>
      </c>
      <c r="C2" s="11"/>
      <c r="D2" s="11" t="s">
        <v>5</v>
      </c>
    </row>
    <row r="3" spans="1:5" ht="19.5" x14ac:dyDescent="0.35">
      <c r="A3" s="5" t="s">
        <v>0</v>
      </c>
      <c r="B3" s="12"/>
      <c r="C3" s="12" t="s">
        <v>7</v>
      </c>
      <c r="D3" s="12" t="s">
        <v>8</v>
      </c>
      <c r="E3" s="2"/>
    </row>
    <row r="4" spans="1:5" x14ac:dyDescent="0.25">
      <c r="A4" s="33" t="s">
        <v>294</v>
      </c>
      <c r="B4" s="34">
        <v>308611.20000000001</v>
      </c>
      <c r="C4" s="34">
        <v>0</v>
      </c>
      <c r="D4" s="10">
        <v>0</v>
      </c>
    </row>
    <row r="5" spans="1:5" x14ac:dyDescent="0.25">
      <c r="A5" s="33" t="s">
        <v>295</v>
      </c>
      <c r="B5" s="34">
        <v>17890.858</v>
      </c>
      <c r="C5" s="34">
        <v>0</v>
      </c>
      <c r="D5" s="10">
        <v>0</v>
      </c>
    </row>
    <row r="6" spans="1:5" x14ac:dyDescent="0.25">
      <c r="A6" s="33" t="s">
        <v>296</v>
      </c>
      <c r="B6" s="34">
        <v>100979.7</v>
      </c>
      <c r="C6" s="34">
        <v>0</v>
      </c>
      <c r="D6" s="10">
        <v>0</v>
      </c>
    </row>
    <row r="7" spans="1:5" x14ac:dyDescent="0.25">
      <c r="A7" s="33" t="s">
        <v>297</v>
      </c>
      <c r="B7" s="34">
        <v>278749.55</v>
      </c>
      <c r="C7" s="34">
        <v>0</v>
      </c>
      <c r="D7" s="10">
        <v>0</v>
      </c>
    </row>
    <row r="8" spans="1:5" x14ac:dyDescent="0.25">
      <c r="A8" s="33" t="s">
        <v>312</v>
      </c>
      <c r="B8" s="34">
        <v>1756858</v>
      </c>
      <c r="C8" s="34">
        <v>2594.5160621974005</v>
      </c>
      <c r="D8" s="10">
        <v>2279098.1500000004</v>
      </c>
    </row>
    <row r="9" spans="1:5" x14ac:dyDescent="0.25">
      <c r="A9" s="33" t="s">
        <v>313</v>
      </c>
      <c r="B9" s="34">
        <v>2738174</v>
      </c>
      <c r="C9" s="34">
        <v>2358.8187967601766</v>
      </c>
      <c r="D9" s="10">
        <v>3229428.15</v>
      </c>
    </row>
    <row r="10" spans="1:5" x14ac:dyDescent="0.25">
      <c r="A10" s="33" t="s">
        <v>298</v>
      </c>
      <c r="B10" s="34">
        <v>293.68</v>
      </c>
      <c r="C10" s="34">
        <v>1822.9137276553097</v>
      </c>
      <c r="D10" s="10">
        <v>267.67665176890569</v>
      </c>
    </row>
    <row r="11" spans="1:5" x14ac:dyDescent="0.25">
      <c r="A11" s="33" t="s">
        <v>299</v>
      </c>
      <c r="B11" s="34">
        <v>297657.59999999998</v>
      </c>
      <c r="C11" s="34">
        <v>1058.9334859919586</v>
      </c>
      <c r="D11" s="10">
        <v>157599.79999999999</v>
      </c>
    </row>
    <row r="12" spans="1:5" x14ac:dyDescent="0.25">
      <c r="A12" s="33" t="s">
        <v>300</v>
      </c>
      <c r="B12" s="34">
        <v>868466.83199999994</v>
      </c>
      <c r="C12" s="34">
        <v>1028.8920279686629</v>
      </c>
      <c r="D12" s="10">
        <v>446779.3</v>
      </c>
    </row>
    <row r="13" spans="1:5" x14ac:dyDescent="0.25">
      <c r="A13" s="33" t="s">
        <v>301</v>
      </c>
      <c r="B13" s="34">
        <v>623181.11300000001</v>
      </c>
      <c r="C13" s="34">
        <v>875.14295254323611</v>
      </c>
      <c r="D13" s="10">
        <v>272686.27960000001</v>
      </c>
    </row>
    <row r="14" spans="1:5" x14ac:dyDescent="0.25">
      <c r="A14" s="33" t="s">
        <v>302</v>
      </c>
      <c r="B14" s="34">
        <v>113691.1</v>
      </c>
      <c r="C14" s="34">
        <v>1576.637719260428</v>
      </c>
      <c r="D14" s="10">
        <v>89624.838302104617</v>
      </c>
    </row>
    <row r="15" spans="1:5" x14ac:dyDescent="0.25">
      <c r="A15" s="33" t="s">
        <v>303</v>
      </c>
      <c r="B15" s="34">
        <v>47603.8</v>
      </c>
      <c r="C15" s="34">
        <v>1200.1394846629889</v>
      </c>
      <c r="D15" s="10">
        <v>28565.599999999995</v>
      </c>
    </row>
    <row r="16" spans="1:5" x14ac:dyDescent="0.25">
      <c r="A16" s="33" t="s">
        <v>304</v>
      </c>
      <c r="B16" s="34">
        <v>39935.4</v>
      </c>
      <c r="C16" s="34">
        <v>2385.4498602543363</v>
      </c>
      <c r="D16" s="10">
        <v>47631.947174600515</v>
      </c>
    </row>
    <row r="17" spans="1:4" x14ac:dyDescent="0.25">
      <c r="A17" s="33" t="s">
        <v>305</v>
      </c>
      <c r="B17" s="34">
        <v>1498666</v>
      </c>
      <c r="C17" s="34">
        <v>810.75730015894135</v>
      </c>
      <c r="D17" s="10">
        <v>607527.19999999995</v>
      </c>
    </row>
    <row r="18" spans="1:4" x14ac:dyDescent="0.25">
      <c r="A18" s="33" t="s">
        <v>306</v>
      </c>
      <c r="B18" s="34">
        <v>364779.478</v>
      </c>
      <c r="C18" s="34">
        <v>0</v>
      </c>
      <c r="D18" s="10">
        <v>0</v>
      </c>
    </row>
    <row r="19" spans="1:4" x14ac:dyDescent="0.25">
      <c r="A19" s="33" t="s">
        <v>307</v>
      </c>
      <c r="B19" s="34">
        <v>741767.96</v>
      </c>
      <c r="C19" s="34">
        <v>0</v>
      </c>
      <c r="D19" s="10">
        <v>0</v>
      </c>
    </row>
    <row r="20" spans="1:4" x14ac:dyDescent="0.25">
      <c r="A20" s="33" t="s">
        <v>308</v>
      </c>
      <c r="B20" s="34">
        <v>1701035.9</v>
      </c>
      <c r="C20" s="34">
        <v>887.90330644991093</v>
      </c>
      <c r="D20" s="10">
        <v>755177.7</v>
      </c>
    </row>
    <row r="21" spans="1:4" x14ac:dyDescent="0.25">
      <c r="A21" s="33" t="s">
        <v>309</v>
      </c>
      <c r="B21" s="34">
        <v>601052.9</v>
      </c>
      <c r="C21" s="34">
        <v>1035.8728824035288</v>
      </c>
      <c r="D21" s="10">
        <v>311307.2</v>
      </c>
    </row>
    <row r="22" spans="1:4" x14ac:dyDescent="0.25">
      <c r="A22" s="33" t="s">
        <v>310</v>
      </c>
      <c r="B22" s="34">
        <v>38733.300000000003</v>
      </c>
      <c r="C22" s="34">
        <v>1952.6062775910088</v>
      </c>
      <c r="D22" s="10">
        <v>37815.442365907918</v>
      </c>
    </row>
    <row r="23" spans="1:4" x14ac:dyDescent="0.25">
      <c r="A23" s="33" t="s">
        <v>311</v>
      </c>
      <c r="B23" s="34">
        <v>608885.75</v>
      </c>
      <c r="C23" s="34">
        <v>0</v>
      </c>
      <c r="D23" s="10">
        <v>0</v>
      </c>
    </row>
    <row r="24" spans="1:4" x14ac:dyDescent="0.25">
      <c r="A24" s="33" t="s">
        <v>314</v>
      </c>
      <c r="B24" s="34">
        <v>138.036</v>
      </c>
      <c r="C24" s="34">
        <v>0</v>
      </c>
      <c r="D24" s="10">
        <v>0</v>
      </c>
    </row>
    <row r="25" spans="1:4" x14ac:dyDescent="0.25">
      <c r="A25" s="33" t="s">
        <v>195</v>
      </c>
      <c r="B25" s="34">
        <v>106200</v>
      </c>
      <c r="C25" s="34">
        <v>696.27801899214046</v>
      </c>
      <c r="D25" s="10">
        <v>36972.362808482663</v>
      </c>
    </row>
    <row r="26" spans="1:4" x14ac:dyDescent="0.25">
      <c r="A26" s="33" t="s">
        <v>315</v>
      </c>
      <c r="B26" s="34">
        <v>19583.703000000001</v>
      </c>
      <c r="C26" s="34">
        <v>696.27801899214046</v>
      </c>
      <c r="D26" s="10">
        <v>6817.850964685219</v>
      </c>
    </row>
    <row r="27" spans="1:4" x14ac:dyDescent="0.25">
      <c r="A27" s="33" t="s">
        <v>316</v>
      </c>
      <c r="B27" s="34">
        <v>1.859</v>
      </c>
      <c r="C27" s="34">
        <v>0</v>
      </c>
      <c r="D27" s="10">
        <v>0</v>
      </c>
    </row>
    <row r="28" spans="1:4" x14ac:dyDescent="0.25">
      <c r="A28" s="33" t="s">
        <v>317</v>
      </c>
      <c r="B28" s="34">
        <v>6365.9970000000003</v>
      </c>
      <c r="C28" s="34">
        <v>0</v>
      </c>
      <c r="D28" s="10">
        <v>0</v>
      </c>
    </row>
    <row r="29" spans="1:4" x14ac:dyDescent="0.25">
      <c r="A29" s="33" t="s">
        <v>200</v>
      </c>
      <c r="B29" s="34">
        <v>-2253</v>
      </c>
      <c r="C29" s="34">
        <v>0</v>
      </c>
      <c r="D29" s="10">
        <v>0</v>
      </c>
    </row>
    <row r="30" spans="1:4" x14ac:dyDescent="0.25">
      <c r="A30" s="33" t="s">
        <v>175</v>
      </c>
      <c r="B30" s="34">
        <v>7000</v>
      </c>
      <c r="C30" s="34">
        <v>0</v>
      </c>
      <c r="D30" s="10">
        <v>0</v>
      </c>
    </row>
    <row r="31" spans="1:4" x14ac:dyDescent="0.25">
      <c r="A31" s="33" t="s">
        <v>318</v>
      </c>
      <c r="B31" s="34">
        <v>343584</v>
      </c>
      <c r="C31" s="34">
        <v>696.27801899214046</v>
      </c>
      <c r="D31" s="10">
        <v>119614.9934386978</v>
      </c>
    </row>
    <row r="32" spans="1:4" x14ac:dyDescent="0.25">
      <c r="A32" s="33" t="s">
        <v>319</v>
      </c>
      <c r="B32" s="34">
        <v>22.84</v>
      </c>
      <c r="C32" s="34">
        <v>0</v>
      </c>
      <c r="D32" s="10">
        <v>0</v>
      </c>
    </row>
    <row r="33" spans="1:4" x14ac:dyDescent="0.25">
      <c r="A33" s="33" t="s">
        <v>320</v>
      </c>
      <c r="B33" s="34">
        <v>2299343</v>
      </c>
      <c r="C33" s="34">
        <v>0</v>
      </c>
      <c r="D33" s="10">
        <v>0</v>
      </c>
    </row>
    <row r="34" spans="1:4" x14ac:dyDescent="0.25">
      <c r="A34" s="33" t="s">
        <v>321</v>
      </c>
      <c r="B34" s="34">
        <v>-39940</v>
      </c>
      <c r="C34" s="34">
        <v>0</v>
      </c>
      <c r="D34" s="10">
        <v>0</v>
      </c>
    </row>
    <row r="35" spans="1:4" x14ac:dyDescent="0.25">
      <c r="A35" s="33" t="s">
        <v>322</v>
      </c>
      <c r="B35" s="34">
        <v>-82401</v>
      </c>
      <c r="C35" s="34">
        <v>0</v>
      </c>
      <c r="D35" s="10">
        <v>0</v>
      </c>
    </row>
    <row r="36" spans="1:4" x14ac:dyDescent="0.25">
      <c r="A36" s="35" t="s">
        <v>323</v>
      </c>
      <c r="B36" s="34">
        <v>1094705</v>
      </c>
      <c r="C36" s="34">
        <v>0</v>
      </c>
      <c r="D36" s="10">
        <v>0</v>
      </c>
    </row>
    <row r="37" spans="1:4" x14ac:dyDescent="0.25">
      <c r="A37" s="35" t="s">
        <v>324</v>
      </c>
      <c r="B37" s="34">
        <v>4697.4279999999999</v>
      </c>
      <c r="C37" s="34">
        <v>0</v>
      </c>
      <c r="D37" s="10">
        <v>0</v>
      </c>
    </row>
    <row r="38" spans="1:4" x14ac:dyDescent="0.25">
      <c r="A38" s="35" t="s">
        <v>325</v>
      </c>
      <c r="B38" s="34">
        <v>4857.8090000000002</v>
      </c>
      <c r="C38" s="34">
        <v>0</v>
      </c>
      <c r="D38" s="10">
        <v>0</v>
      </c>
    </row>
    <row r="39" spans="1:4" x14ac:dyDescent="0.25">
      <c r="A39" s="35" t="s">
        <v>326</v>
      </c>
      <c r="B39" s="34">
        <v>4485.2</v>
      </c>
      <c r="C39" s="34">
        <v>0</v>
      </c>
      <c r="D39" s="10">
        <v>0</v>
      </c>
    </row>
    <row r="40" spans="1:4" x14ac:dyDescent="0.25">
      <c r="A40" s="35" t="s">
        <v>328</v>
      </c>
      <c r="B40" s="34">
        <v>53743</v>
      </c>
      <c r="C40" s="34">
        <v>0</v>
      </c>
      <c r="D40" s="10">
        <v>0</v>
      </c>
    </row>
    <row r="41" spans="1:4" x14ac:dyDescent="0.25">
      <c r="A41" s="35" t="s">
        <v>330</v>
      </c>
      <c r="B41" s="34">
        <v>61.71</v>
      </c>
      <c r="C41" s="34">
        <v>0</v>
      </c>
      <c r="D41" s="10">
        <v>0</v>
      </c>
    </row>
    <row r="42" spans="1:4" x14ac:dyDescent="0.25">
      <c r="A42" s="35" t="s">
        <v>331</v>
      </c>
      <c r="B42" s="34">
        <v>400</v>
      </c>
      <c r="C42" s="34">
        <v>806.28252911890797</v>
      </c>
      <c r="D42" s="10">
        <v>161.25650582378159</v>
      </c>
    </row>
    <row r="43" spans="1:4" x14ac:dyDescent="0.25">
      <c r="A43" s="35" t="s">
        <v>332</v>
      </c>
      <c r="B43" s="34">
        <v>119141</v>
      </c>
      <c r="C43" s="34">
        <v>0</v>
      </c>
      <c r="D43" s="10">
        <v>0</v>
      </c>
    </row>
    <row r="44" spans="1:4" x14ac:dyDescent="0.25">
      <c r="A44" s="35" t="s">
        <v>333</v>
      </c>
      <c r="B44" s="34">
        <v>129.62800000000001</v>
      </c>
      <c r="C44" s="34">
        <v>0</v>
      </c>
      <c r="D44" s="10">
        <v>0</v>
      </c>
    </row>
    <row r="45" spans="1:4" x14ac:dyDescent="0.25">
      <c r="A45" s="35" t="s">
        <v>336</v>
      </c>
      <c r="B45" s="34">
        <v>4950.2660000000005</v>
      </c>
      <c r="C45" s="34">
        <v>0</v>
      </c>
      <c r="D45" s="10">
        <v>0</v>
      </c>
    </row>
    <row r="46" spans="1:4" x14ac:dyDescent="0.25">
      <c r="A46" s="35" t="s">
        <v>337</v>
      </c>
      <c r="B46" s="34">
        <v>4961.1959999999999</v>
      </c>
      <c r="C46" s="34">
        <v>0</v>
      </c>
      <c r="D46" s="10">
        <v>0</v>
      </c>
    </row>
    <row r="47" spans="1:4" x14ac:dyDescent="0.25">
      <c r="A47" s="35" t="s">
        <v>338</v>
      </c>
      <c r="B47" s="34">
        <v>162.84899999999999</v>
      </c>
      <c r="C47" s="34">
        <v>0</v>
      </c>
      <c r="D47" s="10">
        <v>0</v>
      </c>
    </row>
    <row r="48" spans="1:4" x14ac:dyDescent="0.25">
      <c r="A48" s="35" t="s">
        <v>340</v>
      </c>
      <c r="B48" s="34">
        <v>11368.796</v>
      </c>
      <c r="C48" s="34">
        <v>0</v>
      </c>
      <c r="D48" s="10">
        <v>0</v>
      </c>
    </row>
    <row r="49" spans="1:4" x14ac:dyDescent="0.25">
      <c r="A49" s="35" t="s">
        <v>341</v>
      </c>
      <c r="B49" s="34">
        <v>1135396</v>
      </c>
      <c r="C49" s="34">
        <v>2406.7107411405805</v>
      </c>
      <c r="D49" s="10">
        <f>(B49*C49)/2000</f>
        <v>1366284.8743240251</v>
      </c>
    </row>
    <row r="50" spans="1:4" x14ac:dyDescent="0.25">
      <c r="A50" s="35" t="s">
        <v>342</v>
      </c>
      <c r="B50" s="34">
        <v>1619.28</v>
      </c>
      <c r="C50" s="34">
        <v>0</v>
      </c>
      <c r="D50" s="10">
        <v>0</v>
      </c>
    </row>
    <row r="51" spans="1:4" x14ac:dyDescent="0.25">
      <c r="A51" s="35" t="s">
        <v>343</v>
      </c>
      <c r="B51" s="34">
        <v>3455.4459999999999</v>
      </c>
      <c r="C51" s="34">
        <v>0</v>
      </c>
      <c r="D51" s="10">
        <v>0</v>
      </c>
    </row>
    <row r="52" spans="1:4" x14ac:dyDescent="0.25">
      <c r="A52" s="35" t="s">
        <v>345</v>
      </c>
      <c r="B52" s="34">
        <v>32656.922999999999</v>
      </c>
      <c r="C52" s="34">
        <v>0</v>
      </c>
      <c r="D52" s="10">
        <v>0</v>
      </c>
    </row>
    <row r="53" spans="1:4" x14ac:dyDescent="0.25">
      <c r="A53" s="35" t="s">
        <v>346</v>
      </c>
      <c r="B53" s="34">
        <v>62833.254000000001</v>
      </c>
      <c r="C53" s="34">
        <v>0</v>
      </c>
      <c r="D53" s="10">
        <v>0</v>
      </c>
    </row>
    <row r="54" spans="1:4" x14ac:dyDescent="0.25">
      <c r="A54" s="35" t="s">
        <v>347</v>
      </c>
      <c r="B54" s="34">
        <v>1087.0940000000001</v>
      </c>
      <c r="C54" s="34">
        <v>0</v>
      </c>
      <c r="D54" s="10">
        <v>0</v>
      </c>
    </row>
    <row r="55" spans="1:4" x14ac:dyDescent="0.25">
      <c r="A55" s="35" t="s">
        <v>348</v>
      </c>
      <c r="B55" s="34">
        <v>744.32</v>
      </c>
      <c r="C55" s="34">
        <v>0</v>
      </c>
      <c r="D55" s="10">
        <v>0</v>
      </c>
    </row>
    <row r="56" spans="1:4" x14ac:dyDescent="0.25">
      <c r="A56" s="35" t="s">
        <v>349</v>
      </c>
      <c r="B56" s="34">
        <v>36094.142</v>
      </c>
      <c r="C56" s="34">
        <v>0</v>
      </c>
      <c r="D56" s="10">
        <v>0</v>
      </c>
    </row>
    <row r="57" spans="1:4" x14ac:dyDescent="0.25">
      <c r="A57" s="35" t="s">
        <v>350</v>
      </c>
      <c r="B57" s="34">
        <v>278.68</v>
      </c>
      <c r="C57" s="34">
        <v>0</v>
      </c>
      <c r="D57" s="10">
        <v>0</v>
      </c>
    </row>
    <row r="58" spans="1:4" x14ac:dyDescent="0.25">
      <c r="A58" s="35" t="s">
        <v>352</v>
      </c>
      <c r="B58" s="34">
        <v>22257.173999999999</v>
      </c>
      <c r="C58" s="34">
        <v>0</v>
      </c>
      <c r="D58" s="10">
        <v>0</v>
      </c>
    </row>
    <row r="59" spans="1:4" x14ac:dyDescent="0.25">
      <c r="A59" s="35" t="s">
        <v>356</v>
      </c>
      <c r="B59" s="34">
        <v>738.61900000000003</v>
      </c>
      <c r="C59" s="34">
        <v>0</v>
      </c>
      <c r="D59" s="10">
        <v>0</v>
      </c>
    </row>
    <row r="60" spans="1:4" x14ac:dyDescent="0.25">
      <c r="A60" s="35" t="s">
        <v>357</v>
      </c>
      <c r="B60" s="34">
        <v>52604.395000000004</v>
      </c>
      <c r="C60" s="34">
        <v>0</v>
      </c>
      <c r="D60" s="10">
        <v>0</v>
      </c>
    </row>
    <row r="61" spans="1:4" x14ac:dyDescent="0.25">
      <c r="A61" s="35" t="s">
        <v>358</v>
      </c>
      <c r="B61" s="34">
        <v>8526.616</v>
      </c>
      <c r="C61" s="34">
        <v>0</v>
      </c>
      <c r="D61" s="10">
        <v>0</v>
      </c>
    </row>
    <row r="62" spans="1:4" x14ac:dyDescent="0.25">
      <c r="A62" s="35"/>
      <c r="B62" s="34"/>
      <c r="C62" s="34"/>
      <c r="D62" s="10"/>
    </row>
    <row r="63" spans="1:4" ht="15.75" thickBot="1" x14ac:dyDescent="0.3">
      <c r="A63" s="36"/>
      <c r="B63" s="37"/>
      <c r="C63" s="37"/>
      <c r="D63" s="16"/>
    </row>
    <row r="64" spans="1:4" ht="16.5" thickTop="1" thickBot="1" x14ac:dyDescent="0.3">
      <c r="A64" s="1"/>
      <c r="B64" s="17">
        <f>SUM(B4:B63)</f>
        <v>18066615.381000001</v>
      </c>
      <c r="D64" s="17">
        <f>SUM(D4:D63)</f>
        <v>9793360.6221360993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6" max="6" width="10.7109375" customWidth="1"/>
    <col min="7" max="7" width="9.140625" customWidth="1"/>
    <col min="8" max="8" width="8" customWidth="1"/>
  </cols>
  <sheetData>
    <row r="1" spans="1:9" ht="19.5" x14ac:dyDescent="0.35">
      <c r="A1" s="3" t="s">
        <v>32</v>
      </c>
      <c r="B1" s="95">
        <v>2015</v>
      </c>
      <c r="D1" s="8" t="s">
        <v>2</v>
      </c>
      <c r="H1" s="130">
        <v>1074</v>
      </c>
      <c r="I1" t="s">
        <v>6</v>
      </c>
    </row>
    <row r="2" spans="1:9" ht="18.75" x14ac:dyDescent="0.3">
      <c r="A2" s="3"/>
      <c r="B2" s="11" t="s">
        <v>31</v>
      </c>
      <c r="C2" s="11" t="s">
        <v>1</v>
      </c>
      <c r="D2" s="11" t="s">
        <v>5</v>
      </c>
      <c r="E2" s="4"/>
      <c r="F2" s="40" t="s">
        <v>9</v>
      </c>
      <c r="G2" s="38">
        <v>2015</v>
      </c>
      <c r="H2" s="41"/>
    </row>
    <row r="3" spans="1:9" ht="19.5" x14ac:dyDescent="0.35">
      <c r="A3" s="5" t="s">
        <v>0</v>
      </c>
      <c r="B3" s="12"/>
      <c r="C3" s="12" t="s">
        <v>7</v>
      </c>
      <c r="D3" s="12" t="s">
        <v>8</v>
      </c>
      <c r="E3" s="7"/>
    </row>
    <row r="4" spans="1:9" x14ac:dyDescent="0.25">
      <c r="A4" s="33" t="s">
        <v>194</v>
      </c>
      <c r="B4" s="105">
        <v>127355</v>
      </c>
      <c r="C4" s="98">
        <f t="shared" ref="C4:C35" si="0">IF(B4&lt;&gt;0,$H$1,"")</f>
        <v>1074</v>
      </c>
      <c r="D4" s="10">
        <f t="shared" ref="D4:D35" si="1">(+B4*C4)/2000</f>
        <v>68389.634999999995</v>
      </c>
      <c r="F4" s="131" t="s">
        <v>439</v>
      </c>
      <c r="G4" s="131"/>
    </row>
    <row r="5" spans="1:9" x14ac:dyDescent="0.25">
      <c r="A5" s="33" t="s">
        <v>195</v>
      </c>
      <c r="B5" s="105">
        <v>-30</v>
      </c>
      <c r="C5" s="98">
        <f t="shared" si="0"/>
        <v>1074</v>
      </c>
      <c r="D5" s="10">
        <f t="shared" si="1"/>
        <v>-16.11</v>
      </c>
      <c r="F5" s="132">
        <v>2072887.884457618</v>
      </c>
      <c r="G5" s="131" t="s">
        <v>438</v>
      </c>
    </row>
    <row r="6" spans="1:9" x14ac:dyDescent="0.25">
      <c r="A6" s="33" t="s">
        <v>198</v>
      </c>
      <c r="B6" s="105">
        <v>1200</v>
      </c>
      <c r="C6" s="98">
        <f t="shared" si="0"/>
        <v>1074</v>
      </c>
      <c r="D6" s="10">
        <f t="shared" si="1"/>
        <v>644.4</v>
      </c>
    </row>
    <row r="7" spans="1:9" x14ac:dyDescent="0.25">
      <c r="A7" s="33" t="s">
        <v>200</v>
      </c>
      <c r="B7" s="105">
        <v>-5721875</v>
      </c>
      <c r="C7" s="98">
        <f t="shared" si="0"/>
        <v>1074</v>
      </c>
      <c r="D7" s="10">
        <f t="shared" si="1"/>
        <v>-3072646.875</v>
      </c>
    </row>
    <row r="8" spans="1:9" x14ac:dyDescent="0.25">
      <c r="A8" s="33" t="s">
        <v>201</v>
      </c>
      <c r="B8" s="105">
        <v>340839</v>
      </c>
      <c r="C8" s="98">
        <f t="shared" si="0"/>
        <v>1074</v>
      </c>
      <c r="D8" s="10">
        <f t="shared" si="1"/>
        <v>183030.54300000001</v>
      </c>
    </row>
    <row r="9" spans="1:9" x14ac:dyDescent="0.25">
      <c r="A9" s="33" t="s">
        <v>175</v>
      </c>
      <c r="B9" s="105">
        <v>141462</v>
      </c>
      <c r="C9" s="98">
        <f t="shared" si="0"/>
        <v>1074</v>
      </c>
      <c r="D9" s="10">
        <f t="shared" si="1"/>
        <v>75965.093999999997</v>
      </c>
    </row>
    <row r="10" spans="1:9" x14ac:dyDescent="0.25">
      <c r="A10" s="33" t="s">
        <v>202</v>
      </c>
      <c r="B10" s="105">
        <v>67</v>
      </c>
      <c r="C10" s="98">
        <f t="shared" si="0"/>
        <v>1074</v>
      </c>
      <c r="D10" s="10">
        <f t="shared" si="1"/>
        <v>35.978999999999999</v>
      </c>
    </row>
    <row r="11" spans="1:9" x14ac:dyDescent="0.25">
      <c r="A11" s="33" t="s">
        <v>206</v>
      </c>
      <c r="B11" s="105">
        <v>12114</v>
      </c>
      <c r="C11" s="98">
        <f t="shared" si="0"/>
        <v>1074</v>
      </c>
      <c r="D11" s="10">
        <f t="shared" si="1"/>
        <v>6505.2179999999998</v>
      </c>
    </row>
    <row r="12" spans="1:9" x14ac:dyDescent="0.25">
      <c r="A12" s="33" t="s">
        <v>207</v>
      </c>
      <c r="B12" s="105">
        <v>350294</v>
      </c>
      <c r="C12" s="98">
        <f t="shared" si="0"/>
        <v>1074</v>
      </c>
      <c r="D12" s="10">
        <f t="shared" si="1"/>
        <v>188107.878</v>
      </c>
    </row>
    <row r="13" spans="1:9" x14ac:dyDescent="0.25">
      <c r="A13" s="33" t="s">
        <v>176</v>
      </c>
      <c r="B13" s="105">
        <v>779739</v>
      </c>
      <c r="C13" s="98">
        <f t="shared" si="0"/>
        <v>1074</v>
      </c>
      <c r="D13" s="10">
        <f t="shared" si="1"/>
        <v>418719.84299999999</v>
      </c>
    </row>
    <row r="14" spans="1:9" x14ac:dyDescent="0.25">
      <c r="A14" s="33" t="s">
        <v>208</v>
      </c>
      <c r="B14" s="105">
        <v>857</v>
      </c>
      <c r="C14" s="98">
        <f t="shared" si="0"/>
        <v>1074</v>
      </c>
      <c r="D14" s="10">
        <f t="shared" si="1"/>
        <v>460.209</v>
      </c>
    </row>
    <row r="15" spans="1:9" x14ac:dyDescent="0.25">
      <c r="A15" s="33" t="s">
        <v>189</v>
      </c>
      <c r="B15" s="105">
        <v>507518</v>
      </c>
      <c r="C15" s="98">
        <f t="shared" si="0"/>
        <v>1074</v>
      </c>
      <c r="D15" s="10">
        <f t="shared" si="1"/>
        <v>272537.16600000003</v>
      </c>
    </row>
    <row r="16" spans="1:9" x14ac:dyDescent="0.25">
      <c r="A16" s="33" t="s">
        <v>212</v>
      </c>
      <c r="B16" s="105">
        <v>5045</v>
      </c>
      <c r="C16" s="98">
        <f t="shared" si="0"/>
        <v>1074</v>
      </c>
      <c r="D16" s="10">
        <f t="shared" si="1"/>
        <v>2709.165</v>
      </c>
    </row>
    <row r="17" spans="1:4" x14ac:dyDescent="0.25">
      <c r="A17" s="33" t="s">
        <v>213</v>
      </c>
      <c r="B17" s="105">
        <v>2021</v>
      </c>
      <c r="C17" s="98">
        <f t="shared" si="0"/>
        <v>1074</v>
      </c>
      <c r="D17" s="10">
        <f t="shared" si="1"/>
        <v>1085.277</v>
      </c>
    </row>
    <row r="18" spans="1:4" x14ac:dyDescent="0.25">
      <c r="A18" s="33" t="s">
        <v>214</v>
      </c>
      <c r="B18" s="105">
        <v>2000</v>
      </c>
      <c r="C18" s="98">
        <f t="shared" si="0"/>
        <v>1074</v>
      </c>
      <c r="D18" s="10">
        <f t="shared" si="1"/>
        <v>1074</v>
      </c>
    </row>
    <row r="19" spans="1:4" x14ac:dyDescent="0.25">
      <c r="A19" s="33" t="s">
        <v>177</v>
      </c>
      <c r="B19" s="105">
        <v>7</v>
      </c>
      <c r="C19" s="98">
        <f t="shared" si="0"/>
        <v>1074</v>
      </c>
      <c r="D19" s="10">
        <f t="shared" si="1"/>
        <v>3.7589999999999999</v>
      </c>
    </row>
    <row r="20" spans="1:4" x14ac:dyDescent="0.25">
      <c r="A20" s="33" t="s">
        <v>179</v>
      </c>
      <c r="B20" s="105">
        <v>271759</v>
      </c>
      <c r="C20" s="98">
        <f t="shared" si="0"/>
        <v>1074</v>
      </c>
      <c r="D20" s="10">
        <f t="shared" si="1"/>
        <v>145934.58300000001</v>
      </c>
    </row>
    <row r="21" spans="1:4" x14ac:dyDescent="0.25">
      <c r="A21" s="33" t="s">
        <v>219</v>
      </c>
      <c r="B21" s="105">
        <v>2085606</v>
      </c>
      <c r="C21" s="98">
        <f t="shared" si="0"/>
        <v>1074</v>
      </c>
      <c r="D21" s="10">
        <f t="shared" si="1"/>
        <v>1119970.422</v>
      </c>
    </row>
    <row r="22" spans="1:4" x14ac:dyDescent="0.25">
      <c r="A22" s="33" t="s">
        <v>221</v>
      </c>
      <c r="B22" s="105">
        <v>990</v>
      </c>
      <c r="C22" s="98">
        <f t="shared" si="0"/>
        <v>1074</v>
      </c>
      <c r="D22" s="10">
        <f t="shared" si="1"/>
        <v>531.63</v>
      </c>
    </row>
    <row r="23" spans="1:4" x14ac:dyDescent="0.25">
      <c r="A23" s="33" t="s">
        <v>223</v>
      </c>
      <c r="B23" s="105">
        <v>10905</v>
      </c>
      <c r="C23" s="98">
        <f t="shared" si="0"/>
        <v>1074</v>
      </c>
      <c r="D23" s="10">
        <f t="shared" si="1"/>
        <v>5855.9849999999997</v>
      </c>
    </row>
    <row r="24" spans="1:4" x14ac:dyDescent="0.25">
      <c r="A24" s="33" t="s">
        <v>190</v>
      </c>
      <c r="B24" s="105">
        <v>183085</v>
      </c>
      <c r="C24" s="98">
        <f t="shared" si="0"/>
        <v>1074</v>
      </c>
      <c r="D24" s="10">
        <f t="shared" si="1"/>
        <v>98316.645000000004</v>
      </c>
    </row>
    <row r="25" spans="1:4" x14ac:dyDescent="0.25">
      <c r="A25" s="33" t="s">
        <v>226</v>
      </c>
      <c r="B25" s="105">
        <v>14148</v>
      </c>
      <c r="C25" s="98">
        <f t="shared" si="0"/>
        <v>1074</v>
      </c>
      <c r="D25" s="10">
        <f t="shared" si="1"/>
        <v>7597.4759999999997</v>
      </c>
    </row>
    <row r="26" spans="1:4" x14ac:dyDescent="0.25">
      <c r="A26" s="33" t="s">
        <v>230</v>
      </c>
      <c r="B26" s="105">
        <v>677785</v>
      </c>
      <c r="C26" s="98">
        <f t="shared" si="0"/>
        <v>1074</v>
      </c>
      <c r="D26" s="10">
        <f t="shared" si="1"/>
        <v>363970.54499999998</v>
      </c>
    </row>
    <row r="27" spans="1:4" x14ac:dyDescent="0.25">
      <c r="A27" s="33" t="s">
        <v>232</v>
      </c>
      <c r="B27" s="105">
        <v>14768</v>
      </c>
      <c r="C27" s="98">
        <f t="shared" si="0"/>
        <v>1074</v>
      </c>
      <c r="D27" s="10">
        <f t="shared" si="1"/>
        <v>7930.4160000000002</v>
      </c>
    </row>
    <row r="28" spans="1:4" x14ac:dyDescent="0.25">
      <c r="A28" s="33" t="s">
        <v>235</v>
      </c>
      <c r="B28" s="105">
        <v>10400</v>
      </c>
      <c r="C28" s="98">
        <f t="shared" si="0"/>
        <v>1074</v>
      </c>
      <c r="D28" s="10">
        <f t="shared" si="1"/>
        <v>5584.8</v>
      </c>
    </row>
    <row r="29" spans="1:4" x14ac:dyDescent="0.25">
      <c r="A29" s="33" t="s">
        <v>236</v>
      </c>
      <c r="B29" s="105">
        <v>67092</v>
      </c>
      <c r="C29" s="98">
        <f t="shared" si="0"/>
        <v>1074</v>
      </c>
      <c r="D29" s="10">
        <f t="shared" si="1"/>
        <v>36028.404000000002</v>
      </c>
    </row>
    <row r="30" spans="1:4" x14ac:dyDescent="0.25">
      <c r="A30" s="33" t="s">
        <v>180</v>
      </c>
      <c r="B30" s="105">
        <v>1304649</v>
      </c>
      <c r="C30" s="98">
        <f t="shared" si="0"/>
        <v>1074</v>
      </c>
      <c r="D30" s="10">
        <f t="shared" si="1"/>
        <v>700596.51300000004</v>
      </c>
    </row>
    <row r="31" spans="1:4" x14ac:dyDescent="0.25">
      <c r="A31" s="33" t="s">
        <v>248</v>
      </c>
      <c r="B31" s="105">
        <v>113998</v>
      </c>
      <c r="C31" s="98">
        <f t="shared" si="0"/>
        <v>1074</v>
      </c>
      <c r="D31" s="10">
        <f t="shared" si="1"/>
        <v>61216.925999999999</v>
      </c>
    </row>
    <row r="32" spans="1:4" x14ac:dyDescent="0.25">
      <c r="A32" s="33" t="s">
        <v>249</v>
      </c>
      <c r="B32" s="105">
        <v>800</v>
      </c>
      <c r="C32" s="98">
        <f t="shared" si="0"/>
        <v>1074</v>
      </c>
      <c r="D32" s="10">
        <f t="shared" si="1"/>
        <v>429.6</v>
      </c>
    </row>
    <row r="33" spans="1:4" x14ac:dyDescent="0.25">
      <c r="A33" s="33" t="s">
        <v>251</v>
      </c>
      <c r="B33" s="105">
        <v>300</v>
      </c>
      <c r="C33" s="98">
        <f t="shared" si="0"/>
        <v>1074</v>
      </c>
      <c r="D33" s="10">
        <f t="shared" si="1"/>
        <v>161.1</v>
      </c>
    </row>
    <row r="34" spans="1:4" x14ac:dyDescent="0.25">
      <c r="A34" s="33" t="s">
        <v>252</v>
      </c>
      <c r="B34" s="105">
        <v>10619</v>
      </c>
      <c r="C34" s="98">
        <f t="shared" si="0"/>
        <v>1074</v>
      </c>
      <c r="D34" s="10">
        <f t="shared" si="1"/>
        <v>5702.4030000000002</v>
      </c>
    </row>
    <row r="35" spans="1:4" x14ac:dyDescent="0.25">
      <c r="A35" s="33" t="s">
        <v>254</v>
      </c>
      <c r="B35" s="105">
        <v>15430</v>
      </c>
      <c r="C35" s="98">
        <f t="shared" si="0"/>
        <v>1074</v>
      </c>
      <c r="D35" s="10">
        <f t="shared" si="1"/>
        <v>8285.91</v>
      </c>
    </row>
    <row r="36" spans="1:4" x14ac:dyDescent="0.25">
      <c r="A36" s="33" t="s">
        <v>257</v>
      </c>
      <c r="B36" s="105">
        <v>26590</v>
      </c>
      <c r="C36" s="98">
        <f t="shared" ref="C36:C67" si="2">IF(B36&lt;&gt;0,$H$1,"")</f>
        <v>1074</v>
      </c>
      <c r="D36" s="10">
        <f t="shared" ref="D36:D67" si="3">(+B36*C36)/2000</f>
        <v>14278.83</v>
      </c>
    </row>
    <row r="37" spans="1:4" x14ac:dyDescent="0.25">
      <c r="A37" s="33" t="s">
        <v>261</v>
      </c>
      <c r="B37" s="105">
        <v>109691</v>
      </c>
      <c r="C37" s="98">
        <f t="shared" si="2"/>
        <v>1074</v>
      </c>
      <c r="D37" s="10">
        <f t="shared" si="3"/>
        <v>58904.067000000003</v>
      </c>
    </row>
    <row r="38" spans="1:4" x14ac:dyDescent="0.25">
      <c r="A38" s="33" t="s">
        <v>183</v>
      </c>
      <c r="B38" s="105">
        <v>144388</v>
      </c>
      <c r="C38" s="98">
        <f t="shared" si="2"/>
        <v>1074</v>
      </c>
      <c r="D38" s="10">
        <f t="shared" si="3"/>
        <v>77536.356</v>
      </c>
    </row>
    <row r="39" spans="1:4" x14ac:dyDescent="0.25">
      <c r="A39" s="33" t="s">
        <v>263</v>
      </c>
      <c r="B39" s="105">
        <v>800</v>
      </c>
      <c r="C39" s="98">
        <f t="shared" si="2"/>
        <v>1074</v>
      </c>
      <c r="D39" s="10">
        <f t="shared" si="3"/>
        <v>429.6</v>
      </c>
    </row>
    <row r="40" spans="1:4" x14ac:dyDescent="0.25">
      <c r="A40" s="33" t="s">
        <v>264</v>
      </c>
      <c r="B40" s="105">
        <v>12393</v>
      </c>
      <c r="C40" s="98">
        <f t="shared" si="2"/>
        <v>1074</v>
      </c>
      <c r="D40" s="10">
        <f t="shared" si="3"/>
        <v>6655.0410000000002</v>
      </c>
    </row>
    <row r="41" spans="1:4" x14ac:dyDescent="0.25">
      <c r="A41" s="33" t="s">
        <v>266</v>
      </c>
      <c r="B41" s="105">
        <v>5966</v>
      </c>
      <c r="C41" s="98">
        <f t="shared" si="2"/>
        <v>1074</v>
      </c>
      <c r="D41" s="10">
        <f t="shared" si="3"/>
        <v>3203.7420000000002</v>
      </c>
    </row>
    <row r="42" spans="1:4" x14ac:dyDescent="0.25">
      <c r="A42" s="33" t="s">
        <v>184</v>
      </c>
      <c r="B42" s="105">
        <v>96380</v>
      </c>
      <c r="C42" s="98">
        <f t="shared" si="2"/>
        <v>1074</v>
      </c>
      <c r="D42" s="10">
        <f t="shared" si="3"/>
        <v>51756.06</v>
      </c>
    </row>
    <row r="43" spans="1:4" x14ac:dyDescent="0.25">
      <c r="A43" s="33" t="s">
        <v>185</v>
      </c>
      <c r="B43" s="105">
        <v>309247</v>
      </c>
      <c r="C43" s="98">
        <f t="shared" si="2"/>
        <v>1074</v>
      </c>
      <c r="D43" s="10">
        <f t="shared" si="3"/>
        <v>166065.639</v>
      </c>
    </row>
    <row r="44" spans="1:4" x14ac:dyDescent="0.25">
      <c r="A44" s="33" t="s">
        <v>272</v>
      </c>
      <c r="B44" s="105">
        <v>18557</v>
      </c>
      <c r="C44" s="98">
        <f t="shared" si="2"/>
        <v>1074</v>
      </c>
      <c r="D44" s="10">
        <f t="shared" si="3"/>
        <v>9965.1090000000004</v>
      </c>
    </row>
    <row r="45" spans="1:4" x14ac:dyDescent="0.25">
      <c r="A45" s="33" t="s">
        <v>273</v>
      </c>
      <c r="B45" s="105">
        <v>42837</v>
      </c>
      <c r="C45" s="98">
        <f t="shared" si="2"/>
        <v>1074</v>
      </c>
      <c r="D45" s="10">
        <f t="shared" si="3"/>
        <v>23003.469000000001</v>
      </c>
    </row>
    <row r="46" spans="1:4" x14ac:dyDescent="0.25">
      <c r="A46" s="33" t="s">
        <v>186</v>
      </c>
      <c r="B46" s="105">
        <v>38385</v>
      </c>
      <c r="C46" s="98">
        <f t="shared" si="2"/>
        <v>1074</v>
      </c>
      <c r="D46" s="10">
        <f t="shared" si="3"/>
        <v>20612.744999999999</v>
      </c>
    </row>
    <row r="47" spans="1:4" x14ac:dyDescent="0.25">
      <c r="A47" s="33" t="s">
        <v>276</v>
      </c>
      <c r="B47" s="105">
        <v>242781</v>
      </c>
      <c r="C47" s="98">
        <f t="shared" si="2"/>
        <v>1074</v>
      </c>
      <c r="D47" s="10">
        <f t="shared" si="3"/>
        <v>130373.397</v>
      </c>
    </row>
    <row r="48" spans="1:4" x14ac:dyDescent="0.25">
      <c r="A48" s="33" t="s">
        <v>278</v>
      </c>
      <c r="B48" s="105">
        <v>297</v>
      </c>
      <c r="C48" s="98">
        <f t="shared" si="2"/>
        <v>1074</v>
      </c>
      <c r="D48" s="10">
        <f t="shared" si="3"/>
        <v>159.489</v>
      </c>
    </row>
    <row r="49" spans="1:4" x14ac:dyDescent="0.25">
      <c r="A49" s="33" t="s">
        <v>279</v>
      </c>
      <c r="B49" s="105">
        <v>57242</v>
      </c>
      <c r="C49" s="98">
        <f t="shared" si="2"/>
        <v>1074</v>
      </c>
      <c r="D49" s="10">
        <f t="shared" si="3"/>
        <v>30738.954000000002</v>
      </c>
    </row>
    <row r="50" spans="1:4" x14ac:dyDescent="0.25">
      <c r="A50" s="33" t="s">
        <v>188</v>
      </c>
      <c r="B50" s="105">
        <v>1275174</v>
      </c>
      <c r="C50" s="98">
        <f t="shared" si="2"/>
        <v>1074</v>
      </c>
      <c r="D50" s="10">
        <f t="shared" si="3"/>
        <v>684768.43799999997</v>
      </c>
    </row>
    <row r="51" spans="1:4" x14ac:dyDescent="0.25">
      <c r="A51" s="33" t="s">
        <v>281</v>
      </c>
      <c r="B51" s="105">
        <v>15993</v>
      </c>
      <c r="C51" s="98">
        <f t="shared" si="2"/>
        <v>1074</v>
      </c>
      <c r="D51" s="10">
        <f t="shared" si="3"/>
        <v>8588.241</v>
      </c>
    </row>
    <row r="52" spans="1:4" x14ac:dyDescent="0.25">
      <c r="A52" s="33" t="s">
        <v>284</v>
      </c>
      <c r="B52" s="105">
        <v>24277</v>
      </c>
      <c r="C52" s="98">
        <f t="shared" si="2"/>
        <v>1074</v>
      </c>
      <c r="D52" s="10">
        <f t="shared" si="3"/>
        <v>13036.749</v>
      </c>
    </row>
    <row r="53" spans="1:4" x14ac:dyDescent="0.25">
      <c r="A53" s="33" t="s">
        <v>286</v>
      </c>
      <c r="B53" s="105">
        <v>1563318</v>
      </c>
      <c r="C53" s="98">
        <f t="shared" si="2"/>
        <v>1074</v>
      </c>
      <c r="D53" s="10">
        <f t="shared" si="3"/>
        <v>839501.76599999995</v>
      </c>
    </row>
    <row r="54" spans="1:4" x14ac:dyDescent="0.25">
      <c r="A54" s="33" t="s">
        <v>287</v>
      </c>
      <c r="B54" s="105">
        <v>3</v>
      </c>
      <c r="C54" s="98">
        <f t="shared" si="2"/>
        <v>1074</v>
      </c>
      <c r="D54" s="10">
        <f t="shared" si="3"/>
        <v>1.611</v>
      </c>
    </row>
    <row r="55" spans="1:4" x14ac:dyDescent="0.25">
      <c r="A55" s="33" t="s">
        <v>173</v>
      </c>
      <c r="B55" s="105">
        <v>22743.040000000001</v>
      </c>
      <c r="C55" s="98">
        <f t="shared" si="2"/>
        <v>1074</v>
      </c>
      <c r="D55" s="10">
        <f t="shared" si="3"/>
        <v>12213.012480000001</v>
      </c>
    </row>
    <row r="56" spans="1:4" x14ac:dyDescent="0.25">
      <c r="A56" s="33" t="s">
        <v>181</v>
      </c>
      <c r="B56" s="105">
        <v>413000</v>
      </c>
      <c r="C56" s="98">
        <f t="shared" si="2"/>
        <v>1074</v>
      </c>
      <c r="D56" s="10">
        <f t="shared" si="3"/>
        <v>221781</v>
      </c>
    </row>
    <row r="57" spans="1:4" x14ac:dyDescent="0.25">
      <c r="A57" s="33" t="s">
        <v>234</v>
      </c>
      <c r="B57" s="105">
        <v>52886.561999999998</v>
      </c>
      <c r="C57" s="98">
        <f t="shared" si="2"/>
        <v>1074</v>
      </c>
      <c r="D57" s="10">
        <f t="shared" si="3"/>
        <v>28400.083793999998</v>
      </c>
    </row>
    <row r="58" spans="1:4" x14ac:dyDescent="0.25">
      <c r="A58" s="33" t="s">
        <v>181</v>
      </c>
      <c r="B58" s="105">
        <v>-413000</v>
      </c>
      <c r="C58" s="98">
        <f t="shared" si="2"/>
        <v>1074</v>
      </c>
      <c r="D58" s="10">
        <f t="shared" si="3"/>
        <v>-221781</v>
      </c>
    </row>
    <row r="59" spans="1:4" x14ac:dyDescent="0.25">
      <c r="A59" s="33" t="s">
        <v>194</v>
      </c>
      <c r="B59" s="105">
        <v>-59334</v>
      </c>
      <c r="C59" s="98">
        <f t="shared" si="2"/>
        <v>1074</v>
      </c>
      <c r="D59" s="10">
        <f t="shared" si="3"/>
        <v>-31862.358</v>
      </c>
    </row>
    <row r="60" spans="1:4" x14ac:dyDescent="0.25">
      <c r="A60" s="33" t="s">
        <v>198</v>
      </c>
      <c r="B60" s="105">
        <v>-30</v>
      </c>
      <c r="C60" s="98">
        <f t="shared" si="2"/>
        <v>1074</v>
      </c>
      <c r="D60" s="10">
        <f t="shared" si="3"/>
        <v>-16.11</v>
      </c>
    </row>
    <row r="61" spans="1:4" x14ac:dyDescent="0.25">
      <c r="A61" s="33" t="s">
        <v>200</v>
      </c>
      <c r="B61" s="105">
        <v>5724128</v>
      </c>
      <c r="C61" s="98">
        <f t="shared" si="2"/>
        <v>1074</v>
      </c>
      <c r="D61" s="10">
        <f t="shared" si="3"/>
        <v>3073856.736</v>
      </c>
    </row>
    <row r="62" spans="1:4" x14ac:dyDescent="0.25">
      <c r="A62" s="33" t="s">
        <v>201</v>
      </c>
      <c r="B62" s="105">
        <v>-303763</v>
      </c>
      <c r="C62" s="98">
        <f t="shared" si="2"/>
        <v>1074</v>
      </c>
      <c r="D62" s="10">
        <f t="shared" si="3"/>
        <v>-163120.731</v>
      </c>
    </row>
    <row r="63" spans="1:4" x14ac:dyDescent="0.25">
      <c r="A63" s="33" t="s">
        <v>175</v>
      </c>
      <c r="B63" s="105">
        <v>-284002</v>
      </c>
      <c r="C63" s="98">
        <f t="shared" si="2"/>
        <v>1074</v>
      </c>
      <c r="D63" s="10">
        <f t="shared" si="3"/>
        <v>-152509.07399999999</v>
      </c>
    </row>
    <row r="64" spans="1:4" x14ac:dyDescent="0.25">
      <c r="A64" s="33" t="s">
        <v>202</v>
      </c>
      <c r="B64" s="105">
        <v>-28</v>
      </c>
      <c r="C64" s="98">
        <f t="shared" si="2"/>
        <v>1074</v>
      </c>
      <c r="D64" s="10">
        <f t="shared" si="3"/>
        <v>-15.036</v>
      </c>
    </row>
    <row r="65" spans="1:4" x14ac:dyDescent="0.25">
      <c r="A65" s="33" t="s">
        <v>207</v>
      </c>
      <c r="B65" s="105">
        <v>-117995</v>
      </c>
      <c r="C65" s="98">
        <f t="shared" si="2"/>
        <v>1074</v>
      </c>
      <c r="D65" s="10">
        <f t="shared" si="3"/>
        <v>-63363.315000000002</v>
      </c>
    </row>
    <row r="66" spans="1:4" x14ac:dyDescent="0.25">
      <c r="A66" s="33" t="s">
        <v>176</v>
      </c>
      <c r="B66" s="105">
        <v>-176345</v>
      </c>
      <c r="C66" s="98">
        <f t="shared" si="2"/>
        <v>1074</v>
      </c>
      <c r="D66" s="10">
        <f t="shared" si="3"/>
        <v>-94697.264999999999</v>
      </c>
    </row>
    <row r="67" spans="1:4" x14ac:dyDescent="0.25">
      <c r="A67" s="33" t="s">
        <v>208</v>
      </c>
      <c r="B67" s="105">
        <v>-4207</v>
      </c>
      <c r="C67" s="98">
        <f t="shared" si="2"/>
        <v>1074</v>
      </c>
      <c r="D67" s="10">
        <f t="shared" si="3"/>
        <v>-2259.1590000000001</v>
      </c>
    </row>
    <row r="68" spans="1:4" x14ac:dyDescent="0.25">
      <c r="A68" s="33" t="s">
        <v>189</v>
      </c>
      <c r="B68" s="105">
        <v>-327954</v>
      </c>
      <c r="C68" s="98">
        <f t="shared" ref="C68:C99" si="4">IF(B68&lt;&gt;0,$H$1,"")</f>
        <v>1074</v>
      </c>
      <c r="D68" s="10">
        <f t="shared" ref="D68:D99" si="5">(+B68*C68)/2000</f>
        <v>-176111.29800000001</v>
      </c>
    </row>
    <row r="69" spans="1:4" x14ac:dyDescent="0.25">
      <c r="A69" s="33" t="s">
        <v>212</v>
      </c>
      <c r="B69" s="105">
        <v>-6032</v>
      </c>
      <c r="C69" s="98">
        <f t="shared" si="4"/>
        <v>1074</v>
      </c>
      <c r="D69" s="10">
        <f t="shared" si="5"/>
        <v>-3239.1840000000002</v>
      </c>
    </row>
    <row r="70" spans="1:4" x14ac:dyDescent="0.25">
      <c r="A70" s="33" t="s">
        <v>213</v>
      </c>
      <c r="B70" s="105">
        <v>-3692</v>
      </c>
      <c r="C70" s="98">
        <f t="shared" si="4"/>
        <v>1074</v>
      </c>
      <c r="D70" s="10">
        <f t="shared" si="5"/>
        <v>-1982.604</v>
      </c>
    </row>
    <row r="71" spans="1:4" x14ac:dyDescent="0.25">
      <c r="A71" s="33" t="s">
        <v>214</v>
      </c>
      <c r="B71" s="105">
        <v>-5200</v>
      </c>
      <c r="C71" s="98">
        <f t="shared" si="4"/>
        <v>1074</v>
      </c>
      <c r="D71" s="10">
        <f t="shared" si="5"/>
        <v>-2792.4</v>
      </c>
    </row>
    <row r="72" spans="1:4" x14ac:dyDescent="0.25">
      <c r="A72" s="33" t="s">
        <v>177</v>
      </c>
      <c r="B72" s="105">
        <v>-89</v>
      </c>
      <c r="C72" s="98">
        <f t="shared" si="4"/>
        <v>1074</v>
      </c>
      <c r="D72" s="10">
        <f t="shared" si="5"/>
        <v>-47.792999999999999</v>
      </c>
    </row>
    <row r="73" spans="1:4" x14ac:dyDescent="0.25">
      <c r="A73" s="33" t="s">
        <v>215</v>
      </c>
      <c r="B73" s="105">
        <v>-902</v>
      </c>
      <c r="C73" s="98">
        <f t="shared" si="4"/>
        <v>1074</v>
      </c>
      <c r="D73" s="10">
        <f t="shared" si="5"/>
        <v>-484.37400000000002</v>
      </c>
    </row>
    <row r="74" spans="1:4" x14ac:dyDescent="0.25">
      <c r="A74" s="33" t="s">
        <v>179</v>
      </c>
      <c r="B74" s="105">
        <v>-2350</v>
      </c>
      <c r="C74" s="98">
        <f t="shared" si="4"/>
        <v>1074</v>
      </c>
      <c r="D74" s="10">
        <f t="shared" si="5"/>
        <v>-1261.95</v>
      </c>
    </row>
    <row r="75" spans="1:4" x14ac:dyDescent="0.25">
      <c r="A75" s="33" t="s">
        <v>219</v>
      </c>
      <c r="B75" s="105">
        <v>-1158465</v>
      </c>
      <c r="C75" s="98">
        <f t="shared" si="4"/>
        <v>1074</v>
      </c>
      <c r="D75" s="10">
        <f t="shared" si="5"/>
        <v>-622095.70499999996</v>
      </c>
    </row>
    <row r="76" spans="1:4" x14ac:dyDescent="0.25">
      <c r="A76" s="33" t="s">
        <v>221</v>
      </c>
      <c r="B76" s="105">
        <v>-346</v>
      </c>
      <c r="C76" s="98">
        <f t="shared" si="4"/>
        <v>1074</v>
      </c>
      <c r="D76" s="10">
        <f t="shared" si="5"/>
        <v>-185.80199999999999</v>
      </c>
    </row>
    <row r="77" spans="1:4" x14ac:dyDescent="0.25">
      <c r="A77" s="33" t="s">
        <v>223</v>
      </c>
      <c r="B77" s="105">
        <v>-22601</v>
      </c>
      <c r="C77" s="98">
        <f t="shared" si="4"/>
        <v>1074</v>
      </c>
      <c r="D77" s="10">
        <f t="shared" si="5"/>
        <v>-12136.736999999999</v>
      </c>
    </row>
    <row r="78" spans="1:4" x14ac:dyDescent="0.25">
      <c r="A78" s="33" t="s">
        <v>190</v>
      </c>
      <c r="B78" s="105">
        <v>-154413</v>
      </c>
      <c r="C78" s="98">
        <f t="shared" si="4"/>
        <v>1074</v>
      </c>
      <c r="D78" s="10">
        <f t="shared" si="5"/>
        <v>-82919.781000000003</v>
      </c>
    </row>
    <row r="79" spans="1:4" x14ac:dyDescent="0.25">
      <c r="A79" s="33" t="s">
        <v>290</v>
      </c>
      <c r="B79" s="105">
        <v>-13980</v>
      </c>
      <c r="C79" s="98">
        <f t="shared" si="4"/>
        <v>1074</v>
      </c>
      <c r="D79" s="10">
        <f t="shared" si="5"/>
        <v>-7507.26</v>
      </c>
    </row>
    <row r="80" spans="1:4" x14ac:dyDescent="0.25">
      <c r="A80" s="33" t="s">
        <v>226</v>
      </c>
      <c r="B80" s="105">
        <v>-34904</v>
      </c>
      <c r="C80" s="98">
        <f t="shared" si="4"/>
        <v>1074</v>
      </c>
      <c r="D80" s="10">
        <f t="shared" si="5"/>
        <v>-18743.448</v>
      </c>
    </row>
    <row r="81" spans="1:4" x14ac:dyDescent="0.25">
      <c r="A81" s="33" t="s">
        <v>230</v>
      </c>
      <c r="B81" s="105">
        <v>-465716</v>
      </c>
      <c r="C81" s="98">
        <f t="shared" si="4"/>
        <v>1074</v>
      </c>
      <c r="D81" s="10">
        <f t="shared" si="5"/>
        <v>-250089.492</v>
      </c>
    </row>
    <row r="82" spans="1:4" x14ac:dyDescent="0.25">
      <c r="A82" s="33" t="s">
        <v>232</v>
      </c>
      <c r="B82" s="105">
        <v>-28166</v>
      </c>
      <c r="C82" s="98">
        <f t="shared" si="4"/>
        <v>1074</v>
      </c>
      <c r="D82" s="10">
        <f t="shared" si="5"/>
        <v>-15125.142</v>
      </c>
    </row>
    <row r="83" spans="1:4" x14ac:dyDescent="0.25">
      <c r="A83" s="33" t="s">
        <v>235</v>
      </c>
      <c r="B83" s="105">
        <v>-10000</v>
      </c>
      <c r="C83" s="98">
        <f t="shared" si="4"/>
        <v>1074</v>
      </c>
      <c r="D83" s="10">
        <f t="shared" si="5"/>
        <v>-5370</v>
      </c>
    </row>
    <row r="84" spans="1:4" x14ac:dyDescent="0.25">
      <c r="A84" s="33" t="s">
        <v>236</v>
      </c>
      <c r="B84" s="105">
        <v>-64335</v>
      </c>
      <c r="C84" s="98">
        <f t="shared" si="4"/>
        <v>1074</v>
      </c>
      <c r="D84" s="10">
        <f t="shared" si="5"/>
        <v>-34547.894999999997</v>
      </c>
    </row>
    <row r="85" spans="1:4" x14ac:dyDescent="0.25">
      <c r="A85" s="33" t="s">
        <v>180</v>
      </c>
      <c r="B85" s="105">
        <v>-799848</v>
      </c>
      <c r="C85" s="98">
        <f t="shared" si="4"/>
        <v>1074</v>
      </c>
      <c r="D85" s="10">
        <f t="shared" si="5"/>
        <v>-429518.37599999999</v>
      </c>
    </row>
    <row r="86" spans="1:4" x14ac:dyDescent="0.25">
      <c r="A86" s="33" t="s">
        <v>246</v>
      </c>
      <c r="B86" s="105">
        <v>-61</v>
      </c>
      <c r="C86" s="98">
        <f t="shared" si="4"/>
        <v>1074</v>
      </c>
      <c r="D86" s="10">
        <f t="shared" si="5"/>
        <v>-32.756999999999998</v>
      </c>
    </row>
    <row r="87" spans="1:4" x14ac:dyDescent="0.25">
      <c r="A87" s="33" t="s">
        <v>291</v>
      </c>
      <c r="B87" s="105">
        <v>-1267</v>
      </c>
      <c r="C87" s="98">
        <f t="shared" si="4"/>
        <v>1074</v>
      </c>
      <c r="D87" s="10">
        <f t="shared" si="5"/>
        <v>-680.37900000000002</v>
      </c>
    </row>
    <row r="88" spans="1:4" x14ac:dyDescent="0.25">
      <c r="A88" s="33" t="s">
        <v>248</v>
      </c>
      <c r="B88" s="105">
        <v>-1748</v>
      </c>
      <c r="C88" s="98">
        <f t="shared" si="4"/>
        <v>1074</v>
      </c>
      <c r="D88" s="10">
        <f t="shared" si="5"/>
        <v>-938.67600000000004</v>
      </c>
    </row>
    <row r="89" spans="1:4" x14ac:dyDescent="0.25">
      <c r="A89" s="33" t="s">
        <v>251</v>
      </c>
      <c r="B89" s="105">
        <v>-50</v>
      </c>
      <c r="C89" s="98">
        <f t="shared" si="4"/>
        <v>1074</v>
      </c>
      <c r="D89" s="10">
        <f t="shared" si="5"/>
        <v>-26.85</v>
      </c>
    </row>
    <row r="90" spans="1:4" x14ac:dyDescent="0.25">
      <c r="A90" s="33" t="s">
        <v>252</v>
      </c>
      <c r="B90" s="105">
        <v>-27585</v>
      </c>
      <c r="C90" s="98">
        <f t="shared" si="4"/>
        <v>1074</v>
      </c>
      <c r="D90" s="10">
        <f t="shared" si="5"/>
        <v>-14813.145</v>
      </c>
    </row>
    <row r="91" spans="1:4" x14ac:dyDescent="0.25">
      <c r="A91" s="33" t="s">
        <v>254</v>
      </c>
      <c r="B91" s="105">
        <v>-1425</v>
      </c>
      <c r="C91" s="98">
        <f t="shared" si="4"/>
        <v>1074</v>
      </c>
      <c r="D91" s="10">
        <f t="shared" si="5"/>
        <v>-765.22500000000002</v>
      </c>
    </row>
    <row r="92" spans="1:4" x14ac:dyDescent="0.25">
      <c r="A92" s="33" t="s">
        <v>257</v>
      </c>
      <c r="B92" s="105">
        <v>-270353</v>
      </c>
      <c r="C92" s="98">
        <f t="shared" si="4"/>
        <v>1074</v>
      </c>
      <c r="D92" s="10">
        <f t="shared" si="5"/>
        <v>-145179.56099999999</v>
      </c>
    </row>
    <row r="93" spans="1:4" x14ac:dyDescent="0.25">
      <c r="A93" s="33" t="s">
        <v>261</v>
      </c>
      <c r="B93" s="105">
        <v>-154103</v>
      </c>
      <c r="C93" s="98">
        <f t="shared" si="4"/>
        <v>1074</v>
      </c>
      <c r="D93" s="10">
        <f t="shared" si="5"/>
        <v>-82753.311000000002</v>
      </c>
    </row>
    <row r="94" spans="1:4" x14ac:dyDescent="0.25">
      <c r="A94" s="33" t="s">
        <v>183</v>
      </c>
      <c r="B94" s="105">
        <v>-165730</v>
      </c>
      <c r="C94" s="98">
        <f t="shared" si="4"/>
        <v>1074</v>
      </c>
      <c r="D94" s="10">
        <f t="shared" si="5"/>
        <v>-88997.01</v>
      </c>
    </row>
    <row r="95" spans="1:4" x14ac:dyDescent="0.25">
      <c r="A95" s="33" t="s">
        <v>263</v>
      </c>
      <c r="B95" s="105">
        <v>-600</v>
      </c>
      <c r="C95" s="98">
        <f t="shared" si="4"/>
        <v>1074</v>
      </c>
      <c r="D95" s="10">
        <f t="shared" si="5"/>
        <v>-322.2</v>
      </c>
    </row>
    <row r="96" spans="1:4" x14ac:dyDescent="0.25">
      <c r="A96" s="33" t="s">
        <v>264</v>
      </c>
      <c r="B96" s="105">
        <v>-5067</v>
      </c>
      <c r="C96" s="98">
        <f t="shared" si="4"/>
        <v>1074</v>
      </c>
      <c r="D96" s="10">
        <f t="shared" si="5"/>
        <v>-2720.9789999999998</v>
      </c>
    </row>
    <row r="97" spans="1:4" x14ac:dyDescent="0.25">
      <c r="A97" s="33" t="s">
        <v>266</v>
      </c>
      <c r="B97" s="105">
        <v>-15711</v>
      </c>
      <c r="C97" s="98">
        <f t="shared" si="4"/>
        <v>1074</v>
      </c>
      <c r="D97" s="10">
        <f t="shared" si="5"/>
        <v>-8436.8070000000007</v>
      </c>
    </row>
    <row r="98" spans="1:4" x14ac:dyDescent="0.25">
      <c r="A98" s="33" t="s">
        <v>184</v>
      </c>
      <c r="B98" s="105">
        <v>-34982</v>
      </c>
      <c r="C98" s="98">
        <f t="shared" si="4"/>
        <v>1074</v>
      </c>
      <c r="D98" s="10">
        <f t="shared" si="5"/>
        <v>-18785.333999999999</v>
      </c>
    </row>
    <row r="99" spans="1:4" x14ac:dyDescent="0.25">
      <c r="A99" s="33" t="s">
        <v>185</v>
      </c>
      <c r="B99" s="105">
        <v>-349844</v>
      </c>
      <c r="C99" s="98">
        <f t="shared" si="4"/>
        <v>1074</v>
      </c>
      <c r="D99" s="10">
        <f t="shared" si="5"/>
        <v>-187866.228</v>
      </c>
    </row>
    <row r="100" spans="1:4" x14ac:dyDescent="0.25">
      <c r="A100" s="33" t="s">
        <v>272</v>
      </c>
      <c r="B100" s="105">
        <v>-7576</v>
      </c>
      <c r="C100" s="98">
        <f t="shared" ref="C100:C111" si="6">IF(B100&lt;&gt;0,$H$1,"")</f>
        <v>1074</v>
      </c>
      <c r="D100" s="10">
        <f t="shared" ref="D100:D111" si="7">(+B100*C100)/2000</f>
        <v>-4068.3119999999999</v>
      </c>
    </row>
    <row r="101" spans="1:4" x14ac:dyDescent="0.25">
      <c r="A101" s="33" t="s">
        <v>273</v>
      </c>
      <c r="B101" s="105">
        <v>-200</v>
      </c>
      <c r="C101" s="98">
        <f t="shared" si="6"/>
        <v>1074</v>
      </c>
      <c r="D101" s="10">
        <f t="shared" si="7"/>
        <v>-107.4</v>
      </c>
    </row>
    <row r="102" spans="1:4" x14ac:dyDescent="0.25">
      <c r="A102" s="33" t="s">
        <v>186</v>
      </c>
      <c r="B102" s="105">
        <v>-15061</v>
      </c>
      <c r="C102" s="98">
        <f t="shared" si="6"/>
        <v>1074</v>
      </c>
      <c r="D102" s="10">
        <f t="shared" si="7"/>
        <v>-8087.7569999999996</v>
      </c>
    </row>
    <row r="103" spans="1:4" x14ac:dyDescent="0.25">
      <c r="A103" s="33" t="s">
        <v>276</v>
      </c>
      <c r="B103" s="105">
        <v>-70877</v>
      </c>
      <c r="C103" s="98">
        <f t="shared" si="6"/>
        <v>1074</v>
      </c>
      <c r="D103" s="10">
        <f t="shared" si="7"/>
        <v>-38060.949000000001</v>
      </c>
    </row>
    <row r="104" spans="1:4" x14ac:dyDescent="0.25">
      <c r="A104" s="33" t="s">
        <v>278</v>
      </c>
      <c r="B104" s="105">
        <v>-828</v>
      </c>
      <c r="C104" s="98">
        <f t="shared" si="6"/>
        <v>1074</v>
      </c>
      <c r="D104" s="10">
        <f t="shared" si="7"/>
        <v>-444.63600000000002</v>
      </c>
    </row>
    <row r="105" spans="1:4" x14ac:dyDescent="0.25">
      <c r="A105" s="33" t="s">
        <v>279</v>
      </c>
      <c r="B105" s="105">
        <v>-41339</v>
      </c>
      <c r="C105" s="98">
        <f t="shared" si="6"/>
        <v>1074</v>
      </c>
      <c r="D105" s="10">
        <f t="shared" si="7"/>
        <v>-22199.043000000001</v>
      </c>
    </row>
    <row r="106" spans="1:4" x14ac:dyDescent="0.25">
      <c r="A106" s="33" t="s">
        <v>188</v>
      </c>
      <c r="B106" s="105">
        <v>-637562</v>
      </c>
      <c r="C106" s="98">
        <f t="shared" si="6"/>
        <v>1074</v>
      </c>
      <c r="D106" s="10">
        <f t="shared" si="7"/>
        <v>-342370.79399999999</v>
      </c>
    </row>
    <row r="107" spans="1:4" x14ac:dyDescent="0.25">
      <c r="A107" s="33" t="s">
        <v>281</v>
      </c>
      <c r="B107" s="105">
        <v>-7621</v>
      </c>
      <c r="C107" s="98">
        <f t="shared" si="6"/>
        <v>1074</v>
      </c>
      <c r="D107" s="10">
        <f t="shared" si="7"/>
        <v>-4092.4769999999999</v>
      </c>
    </row>
    <row r="108" spans="1:4" x14ac:dyDescent="0.25">
      <c r="A108" s="33" t="s">
        <v>284</v>
      </c>
      <c r="B108" s="105">
        <v>-208</v>
      </c>
      <c r="C108" s="98">
        <f t="shared" si="6"/>
        <v>1074</v>
      </c>
      <c r="D108" s="10">
        <f t="shared" si="7"/>
        <v>-111.696</v>
      </c>
    </row>
    <row r="109" spans="1:4" x14ac:dyDescent="0.25">
      <c r="A109" s="33" t="s">
        <v>286</v>
      </c>
      <c r="B109" s="105">
        <v>-1812075</v>
      </c>
      <c r="C109" s="98">
        <f t="shared" si="6"/>
        <v>1074</v>
      </c>
      <c r="D109" s="10">
        <f t="shared" si="7"/>
        <v>-973084.27500000002</v>
      </c>
    </row>
    <row r="110" spans="1:4" x14ac:dyDescent="0.25">
      <c r="A110" s="33" t="s">
        <v>287</v>
      </c>
      <c r="B110" s="105">
        <v>-2</v>
      </c>
      <c r="C110" s="98">
        <f t="shared" si="6"/>
        <v>1074</v>
      </c>
      <c r="D110" s="10">
        <f t="shared" si="7"/>
        <v>-1.0740000000000001</v>
      </c>
    </row>
    <row r="111" spans="1:4" x14ac:dyDescent="0.25">
      <c r="A111" s="33" t="s">
        <v>371</v>
      </c>
      <c r="B111" s="34">
        <f>515489+292</f>
        <v>515781</v>
      </c>
      <c r="C111" s="98">
        <f t="shared" si="6"/>
        <v>1074</v>
      </c>
      <c r="D111" s="10">
        <f t="shared" si="7"/>
        <v>276974.397</v>
      </c>
    </row>
    <row r="112" spans="1:4" ht="15.75" thickBot="1" x14ac:dyDescent="0.3">
      <c r="A112" s="36"/>
      <c r="B112" s="37"/>
      <c r="C112" s="15"/>
      <c r="D112" s="16"/>
    </row>
    <row r="113" spans="1:4" ht="16.5" thickTop="1" thickBot="1" x14ac:dyDescent="0.3">
      <c r="A113" s="13"/>
      <c r="B113" s="96">
        <f>SUM(B4:B112)</f>
        <v>3964232.602</v>
      </c>
      <c r="C113" s="14"/>
      <c r="D113" s="97">
        <f>SUM(D4:D112)</f>
        <v>2128792.9072739994</v>
      </c>
    </row>
  </sheetData>
  <hyperlinks>
    <hyperlink ref="D1" r:id="rId1"/>
  </hyperlinks>
  <pageMargins left="0.7" right="0.7" top="0.75" bottom="0.75" header="0.3" footer="0.3"/>
  <ignoredErrors>
    <ignoredError sqref="D113"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2014</v>
      </c>
      <c r="D4" s="72" t="s">
        <v>40</v>
      </c>
      <c r="E4" s="68"/>
    </row>
    <row r="5" spans="1:7" thickBot="1" x14ac:dyDescent="0.35">
      <c r="A5" s="238" t="s">
        <v>21</v>
      </c>
      <c r="B5" s="239"/>
      <c r="C5" s="78">
        <f>+F10*'Census Stats'!$L$38</f>
        <v>2393758.2634168519</v>
      </c>
      <c r="D5" s="66">
        <f>+D13/C5</f>
        <v>8.6361694561803777</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10412460</v>
      </c>
      <c r="E10" s="19">
        <f>+D10/D13</f>
        <v>0.50367674552900221</v>
      </c>
      <c r="F10" s="42">
        <v>960708</v>
      </c>
      <c r="G10" s="58">
        <f>+D10/F10</f>
        <v>10.838319239560825</v>
      </c>
    </row>
    <row r="11" spans="1:7" ht="14.45" x14ac:dyDescent="0.3">
      <c r="A11" s="235" t="s">
        <v>17</v>
      </c>
      <c r="B11" s="236"/>
      <c r="C11" s="237"/>
      <c r="D11" s="70">
        <f>8955594+87945</f>
        <v>9043539</v>
      </c>
      <c r="E11" s="19">
        <f>+D11/D13</f>
        <v>0.43745861127770064</v>
      </c>
      <c r="F11" s="34">
        <f>121332+6014</f>
        <v>127346</v>
      </c>
      <c r="G11" s="58">
        <f>+D11/F11</f>
        <v>71.015493223187221</v>
      </c>
    </row>
    <row r="12" spans="1:7" ht="14.45" x14ac:dyDescent="0.3">
      <c r="A12" s="235" t="s">
        <v>18</v>
      </c>
      <c r="B12" s="236"/>
      <c r="C12" s="237"/>
      <c r="D12" s="70">
        <v>1216903</v>
      </c>
      <c r="E12" s="19">
        <f>+D12/D13</f>
        <v>5.8864643193297199E-2</v>
      </c>
      <c r="F12" s="6"/>
      <c r="G12" s="47"/>
    </row>
    <row r="13" spans="1:7" thickBot="1" x14ac:dyDescent="0.35">
      <c r="A13" s="48"/>
      <c r="B13" s="240" t="s">
        <v>13</v>
      </c>
      <c r="C13" s="239"/>
      <c r="D13" s="71">
        <f>SUM(D10:D12)</f>
        <v>20672902</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'2014 Known'!B65</f>
        <v>16087761.391999997</v>
      </c>
      <c r="E18" s="19">
        <f>+D18/(D18+D19)</f>
        <v>0.72215259644388963</v>
      </c>
      <c r="F18" s="10">
        <f>'2014 Known'!D65</f>
        <v>7833030.3329449426</v>
      </c>
      <c r="G18" s="47"/>
    </row>
    <row r="19" spans="1:8" ht="18" x14ac:dyDescent="0.35">
      <c r="A19" s="235" t="s">
        <v>34</v>
      </c>
      <c r="B19" s="236"/>
      <c r="C19" s="237"/>
      <c r="D19" s="59">
        <f>'2014 Unknown'!B113</f>
        <v>6189748.1970000006</v>
      </c>
      <c r="E19" s="60">
        <f>+D19/(D18+D19)</f>
        <v>0.27784740355611037</v>
      </c>
      <c r="F19" s="74">
        <f>'2014 Unknown'!D113</f>
        <v>3138202.3358790041</v>
      </c>
      <c r="G19" s="76" t="s">
        <v>39</v>
      </c>
    </row>
    <row r="20" spans="1:8" ht="18.75" thickBot="1" x14ac:dyDescent="0.4">
      <c r="A20" s="48"/>
      <c r="B20" s="50"/>
      <c r="C20" s="50"/>
      <c r="D20" s="73">
        <f>+C4</f>
        <v>2014</v>
      </c>
      <c r="E20" s="55" t="s">
        <v>4</v>
      </c>
      <c r="F20" s="75">
        <f>SUM(F18:F19)</f>
        <v>10971232.668823946</v>
      </c>
      <c r="G20" s="77">
        <f>+F20/G22</f>
        <v>1.5794891421708677</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selection activeCell="F2" sqref="F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2014</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42364.24</v>
      </c>
      <c r="C4" s="34">
        <v>0</v>
      </c>
      <c r="D4" s="10">
        <v>0</v>
      </c>
    </row>
    <row r="5" spans="1:5" x14ac:dyDescent="0.25">
      <c r="A5" s="33" t="s">
        <v>294</v>
      </c>
      <c r="B5" s="34">
        <v>429609.103</v>
      </c>
      <c r="C5" s="34">
        <v>0</v>
      </c>
      <c r="D5" s="10">
        <v>0</v>
      </c>
    </row>
    <row r="6" spans="1:5" x14ac:dyDescent="0.25">
      <c r="A6" s="33" t="s">
        <v>295</v>
      </c>
      <c r="B6" s="34">
        <v>40375.218000000001</v>
      </c>
      <c r="C6" s="34">
        <v>0</v>
      </c>
      <c r="D6" s="10">
        <v>0</v>
      </c>
    </row>
    <row r="7" spans="1:5" x14ac:dyDescent="0.25">
      <c r="A7" s="33" t="s">
        <v>296</v>
      </c>
      <c r="B7" s="34">
        <v>147766.71299999999</v>
      </c>
      <c r="C7" s="34">
        <v>0</v>
      </c>
      <c r="D7" s="10">
        <v>0</v>
      </c>
    </row>
    <row r="8" spans="1:5" x14ac:dyDescent="0.25">
      <c r="A8" s="33" t="s">
        <v>297</v>
      </c>
      <c r="B8" s="34">
        <v>340085.38099999999</v>
      </c>
      <c r="C8" s="34">
        <v>0</v>
      </c>
      <c r="D8" s="10">
        <v>0</v>
      </c>
    </row>
    <row r="9" spans="1:5" x14ac:dyDescent="0.25">
      <c r="A9" s="33" t="s">
        <v>312</v>
      </c>
      <c r="B9" s="34">
        <v>2114046</v>
      </c>
      <c r="C9" s="34">
        <v>2408.3283945337053</v>
      </c>
      <c r="D9" s="10">
        <v>2545658.5045752004</v>
      </c>
    </row>
    <row r="10" spans="1:5" x14ac:dyDescent="0.25">
      <c r="A10" s="33" t="s">
        <v>313</v>
      </c>
      <c r="B10" s="34">
        <v>2395521</v>
      </c>
      <c r="C10" s="34">
        <v>2341.5871169972834</v>
      </c>
      <c r="D10" s="10">
        <v>2804660.5560482247</v>
      </c>
    </row>
    <row r="11" spans="1:5" x14ac:dyDescent="0.25">
      <c r="A11" s="33" t="s">
        <v>299</v>
      </c>
      <c r="B11" s="34">
        <v>218068.82899999997</v>
      </c>
      <c r="C11" s="34">
        <v>1067.0003580483333</v>
      </c>
      <c r="D11" s="10">
        <v>116339.75931109037</v>
      </c>
    </row>
    <row r="12" spans="1:5" x14ac:dyDescent="0.25">
      <c r="A12" s="33" t="s">
        <v>300</v>
      </c>
      <c r="B12" s="34">
        <v>722557.11800000002</v>
      </c>
      <c r="C12" s="34">
        <v>1015.5714207225303</v>
      </c>
      <c r="D12" s="10">
        <v>366904.17944021849</v>
      </c>
    </row>
    <row r="13" spans="1:5" x14ac:dyDescent="0.25">
      <c r="A13" s="33" t="s">
        <v>301</v>
      </c>
      <c r="B13" s="34">
        <v>346742.94699999999</v>
      </c>
      <c r="C13" s="34">
        <v>1725.3245108965496</v>
      </c>
      <c r="D13" s="10">
        <v>299122.05271980161</v>
      </c>
    </row>
    <row r="14" spans="1:5" x14ac:dyDescent="0.25">
      <c r="A14" s="33" t="s">
        <v>305</v>
      </c>
      <c r="B14" s="34">
        <v>1029457.112</v>
      </c>
      <c r="C14" s="34">
        <v>828.58673039731809</v>
      </c>
      <c r="D14" s="10">
        <v>426497.25125817279</v>
      </c>
    </row>
    <row r="15" spans="1:5" x14ac:dyDescent="0.25">
      <c r="A15" s="33" t="s">
        <v>308</v>
      </c>
      <c r="B15" s="34">
        <v>1284786.4339999999</v>
      </c>
      <c r="C15" s="34">
        <v>871.89901865046033</v>
      </c>
      <c r="D15" s="10">
        <v>560102.01549001213</v>
      </c>
    </row>
    <row r="16" spans="1:5" x14ac:dyDescent="0.25">
      <c r="A16" s="33" t="s">
        <v>309</v>
      </c>
      <c r="B16" s="34">
        <v>446064.98</v>
      </c>
      <c r="C16" s="34">
        <v>1032.8886672668616</v>
      </c>
      <c r="D16" s="10">
        <v>230367.73135330962</v>
      </c>
    </row>
    <row r="17" spans="1:4" x14ac:dyDescent="0.25">
      <c r="A17" s="33" t="s">
        <v>298</v>
      </c>
      <c r="B17" s="34">
        <v>357.8</v>
      </c>
      <c r="C17" s="34">
        <v>1822.9319187566496</v>
      </c>
      <c r="D17" s="10">
        <v>326.12252026556462</v>
      </c>
    </row>
    <row r="18" spans="1:4" x14ac:dyDescent="0.25">
      <c r="A18" s="33" t="s">
        <v>302</v>
      </c>
      <c r="B18" s="34">
        <v>56804.9</v>
      </c>
      <c r="C18" s="34">
        <v>1772.0470230151398</v>
      </c>
      <c r="D18" s="10">
        <v>50330.476968836359</v>
      </c>
    </row>
    <row r="19" spans="1:4" x14ac:dyDescent="0.25">
      <c r="A19" s="33" t="s">
        <v>303</v>
      </c>
      <c r="B19" s="34">
        <v>11337.6</v>
      </c>
      <c r="C19" s="34">
        <v>1329.4098394714711</v>
      </c>
      <c r="D19" s="10">
        <v>7536.1584979958752</v>
      </c>
    </row>
    <row r="20" spans="1:4" x14ac:dyDescent="0.25">
      <c r="A20" s="33" t="s">
        <v>304</v>
      </c>
      <c r="B20" s="34">
        <v>14347.32</v>
      </c>
      <c r="C20" s="34">
        <v>3747.2792048698875</v>
      </c>
      <c r="D20" s="10">
        <v>26881.706940806918</v>
      </c>
    </row>
    <row r="21" spans="1:4" x14ac:dyDescent="0.25">
      <c r="A21" s="33" t="s">
        <v>306</v>
      </c>
      <c r="B21" s="34">
        <v>442302.62199999997</v>
      </c>
      <c r="C21" s="34">
        <v>0</v>
      </c>
      <c r="D21" s="10">
        <v>0</v>
      </c>
    </row>
    <row r="22" spans="1:4" x14ac:dyDescent="0.25">
      <c r="A22" s="33" t="s">
        <v>307</v>
      </c>
      <c r="B22" s="34">
        <v>883474.77099999995</v>
      </c>
      <c r="C22" s="34">
        <v>0</v>
      </c>
      <c r="D22" s="10">
        <v>0</v>
      </c>
    </row>
    <row r="23" spans="1:4" x14ac:dyDescent="0.25">
      <c r="A23" s="33" t="s">
        <v>310</v>
      </c>
      <c r="B23" s="34">
        <v>24458.1</v>
      </c>
      <c r="C23" s="34">
        <v>2653.7287919374417</v>
      </c>
      <c r="D23" s="10">
        <v>32452.582083042569</v>
      </c>
    </row>
    <row r="24" spans="1:4" x14ac:dyDescent="0.25">
      <c r="A24" s="33" t="s">
        <v>311</v>
      </c>
      <c r="B24" s="34">
        <v>649976.24100000004</v>
      </c>
      <c r="C24" s="34">
        <v>0</v>
      </c>
      <c r="D24" s="10">
        <v>0</v>
      </c>
    </row>
    <row r="25" spans="1:4" x14ac:dyDescent="0.25">
      <c r="A25" s="33" t="s">
        <v>314</v>
      </c>
      <c r="B25" s="34">
        <v>143.74799999999999</v>
      </c>
      <c r="C25" s="34">
        <v>0</v>
      </c>
      <c r="D25" s="10">
        <v>0</v>
      </c>
    </row>
    <row r="26" spans="1:4" x14ac:dyDescent="0.25">
      <c r="A26" s="33" t="s">
        <v>195</v>
      </c>
      <c r="B26" s="34">
        <v>216079</v>
      </c>
      <c r="C26" s="34">
        <v>696.27801899214046</v>
      </c>
      <c r="D26" s="10">
        <v>75225.529032901366</v>
      </c>
    </row>
    <row r="27" spans="1:4" x14ac:dyDescent="0.25">
      <c r="A27" s="33" t="s">
        <v>315</v>
      </c>
      <c r="B27" s="34">
        <v>20696.929</v>
      </c>
      <c r="C27" s="34">
        <v>696.27801899214046</v>
      </c>
      <c r="D27" s="10">
        <v>7205.4083616704911</v>
      </c>
    </row>
    <row r="28" spans="1:4" x14ac:dyDescent="0.25">
      <c r="A28" s="33" t="s">
        <v>316</v>
      </c>
      <c r="B28" s="34">
        <v>13.750999999999999</v>
      </c>
      <c r="C28" s="34">
        <v>0</v>
      </c>
      <c r="D28" s="10">
        <v>0</v>
      </c>
    </row>
    <row r="29" spans="1:4" x14ac:dyDescent="0.25">
      <c r="A29" s="33" t="s">
        <v>317</v>
      </c>
      <c r="B29" s="34">
        <v>14182.659</v>
      </c>
      <c r="C29" s="34">
        <v>0</v>
      </c>
      <c r="D29" s="10">
        <v>0</v>
      </c>
    </row>
    <row r="30" spans="1:4" x14ac:dyDescent="0.25">
      <c r="A30" s="33" t="s">
        <v>200</v>
      </c>
      <c r="B30" s="34">
        <v>-10172</v>
      </c>
      <c r="C30" s="34">
        <v>0</v>
      </c>
      <c r="D30" s="10">
        <v>0</v>
      </c>
    </row>
    <row r="31" spans="1:4" x14ac:dyDescent="0.25">
      <c r="A31" s="33" t="s">
        <v>175</v>
      </c>
      <c r="B31" s="34">
        <v>7000</v>
      </c>
      <c r="C31" s="34">
        <v>0</v>
      </c>
      <c r="D31" s="10">
        <v>0</v>
      </c>
    </row>
    <row r="32" spans="1:4" x14ac:dyDescent="0.25">
      <c r="A32" s="33" t="s">
        <v>318</v>
      </c>
      <c r="B32" s="34">
        <v>360022</v>
      </c>
      <c r="C32" s="34">
        <v>696.27801899214046</v>
      </c>
      <c r="D32" s="10">
        <v>125337.70247679419</v>
      </c>
    </row>
    <row r="33" spans="1:4" x14ac:dyDescent="0.25">
      <c r="A33" s="33" t="s">
        <v>319</v>
      </c>
      <c r="B33" s="34">
        <v>28.02</v>
      </c>
      <c r="C33" s="34">
        <v>0</v>
      </c>
      <c r="D33" s="10">
        <v>0</v>
      </c>
    </row>
    <row r="34" spans="1:4" x14ac:dyDescent="0.25">
      <c r="A34" s="33" t="s">
        <v>320</v>
      </c>
      <c r="B34" s="34">
        <v>2323845</v>
      </c>
      <c r="C34" s="34">
        <v>0</v>
      </c>
      <c r="D34" s="10">
        <v>0</v>
      </c>
    </row>
    <row r="35" spans="1:4" x14ac:dyDescent="0.25">
      <c r="A35" s="33" t="s">
        <v>321</v>
      </c>
      <c r="B35" s="34">
        <v>-38431</v>
      </c>
      <c r="C35" s="34">
        <v>0</v>
      </c>
      <c r="D35" s="10">
        <v>0</v>
      </c>
    </row>
    <row r="36" spans="1:4" x14ac:dyDescent="0.25">
      <c r="A36" s="35" t="s">
        <v>322</v>
      </c>
      <c r="B36" s="34">
        <v>-81380</v>
      </c>
      <c r="C36" s="34">
        <v>0</v>
      </c>
      <c r="D36" s="10">
        <v>0</v>
      </c>
    </row>
    <row r="37" spans="1:4" x14ac:dyDescent="0.25">
      <c r="A37" s="35" t="s">
        <v>323</v>
      </c>
      <c r="B37" s="34">
        <v>1048857</v>
      </c>
      <c r="C37" s="34">
        <v>0</v>
      </c>
      <c r="D37" s="10">
        <v>0</v>
      </c>
    </row>
    <row r="38" spans="1:4" x14ac:dyDescent="0.25">
      <c r="A38" s="35" t="s">
        <v>324</v>
      </c>
      <c r="B38" s="34">
        <v>3733.9949999999999</v>
      </c>
      <c r="C38" s="34">
        <v>0</v>
      </c>
      <c r="D38" s="10">
        <v>0</v>
      </c>
    </row>
    <row r="39" spans="1:4" x14ac:dyDescent="0.25">
      <c r="A39" s="35" t="s">
        <v>325</v>
      </c>
      <c r="B39" s="34">
        <v>4946.95</v>
      </c>
      <c r="C39" s="34">
        <v>0</v>
      </c>
      <c r="D39" s="10">
        <v>0</v>
      </c>
    </row>
    <row r="40" spans="1:4" x14ac:dyDescent="0.25">
      <c r="A40" s="35" t="s">
        <v>326</v>
      </c>
      <c r="B40" s="34">
        <v>5241.9309999999996</v>
      </c>
      <c r="C40" s="34">
        <v>0</v>
      </c>
      <c r="D40" s="10">
        <v>0</v>
      </c>
    </row>
    <row r="41" spans="1:4" x14ac:dyDescent="0.25">
      <c r="A41" s="35" t="s">
        <v>328</v>
      </c>
      <c r="B41" s="34">
        <v>50317</v>
      </c>
      <c r="C41" s="34">
        <v>0</v>
      </c>
      <c r="D41" s="10">
        <v>0</v>
      </c>
    </row>
    <row r="42" spans="1:4" x14ac:dyDescent="0.25">
      <c r="A42" s="35" t="s">
        <v>330</v>
      </c>
      <c r="B42" s="34">
        <v>59.67</v>
      </c>
      <c r="C42" s="34">
        <v>0</v>
      </c>
      <c r="D42" s="10">
        <v>0</v>
      </c>
    </row>
    <row r="43" spans="1:4" x14ac:dyDescent="0.25">
      <c r="A43" s="35" t="s">
        <v>331</v>
      </c>
      <c r="B43" s="34">
        <v>1200</v>
      </c>
      <c r="C43" s="34">
        <v>814.11824078403606</v>
      </c>
      <c r="D43" s="10">
        <v>488.47094447042167</v>
      </c>
    </row>
    <row r="44" spans="1:4" x14ac:dyDescent="0.25">
      <c r="A44" s="35" t="s">
        <v>332</v>
      </c>
      <c r="B44" s="34">
        <v>129205</v>
      </c>
      <c r="C44" s="34">
        <v>0</v>
      </c>
      <c r="D44" s="10">
        <v>0</v>
      </c>
    </row>
    <row r="45" spans="1:4" x14ac:dyDescent="0.25">
      <c r="A45" s="35" t="s">
        <v>333</v>
      </c>
      <c r="B45" s="34">
        <v>151.547</v>
      </c>
      <c r="C45" s="34">
        <v>0</v>
      </c>
      <c r="D45" s="10">
        <v>0</v>
      </c>
    </row>
    <row r="46" spans="1:4" x14ac:dyDescent="0.25">
      <c r="A46" s="35" t="s">
        <v>335</v>
      </c>
      <c r="B46" s="34">
        <v>290</v>
      </c>
      <c r="C46" s="34">
        <v>0</v>
      </c>
      <c r="D46" s="10">
        <v>0</v>
      </c>
    </row>
    <row r="47" spans="1:4" x14ac:dyDescent="0.25">
      <c r="A47" s="35" t="s">
        <v>336</v>
      </c>
      <c r="B47" s="34">
        <v>5027.634</v>
      </c>
      <c r="C47" s="34">
        <v>0</v>
      </c>
      <c r="D47" s="10">
        <v>0</v>
      </c>
    </row>
    <row r="48" spans="1:4" x14ac:dyDescent="0.25">
      <c r="A48" s="35" t="s">
        <v>337</v>
      </c>
      <c r="B48" s="34">
        <v>6471.0950000000003</v>
      </c>
      <c r="C48" s="34">
        <v>0</v>
      </c>
      <c r="D48" s="10">
        <v>0</v>
      </c>
    </row>
    <row r="49" spans="1:4" x14ac:dyDescent="0.25">
      <c r="A49" s="35" t="s">
        <v>338</v>
      </c>
      <c r="B49" s="34">
        <v>174.334</v>
      </c>
      <c r="C49" s="34">
        <v>0</v>
      </c>
      <c r="D49" s="10">
        <v>0</v>
      </c>
    </row>
    <row r="50" spans="1:4" x14ac:dyDescent="0.25">
      <c r="A50" s="35" t="s">
        <v>340</v>
      </c>
      <c r="B50" s="34">
        <v>11215.539000000001</v>
      </c>
      <c r="C50" s="34">
        <v>0</v>
      </c>
      <c r="D50" s="10">
        <v>0</v>
      </c>
    </row>
    <row r="51" spans="1:4" x14ac:dyDescent="0.25">
      <c r="A51" s="35" t="s">
        <v>341</v>
      </c>
      <c r="B51" s="34">
        <v>133020</v>
      </c>
      <c r="C51" s="34">
        <v>2369.4801521895856</v>
      </c>
      <c r="D51" s="10">
        <v>157594.12492212933</v>
      </c>
    </row>
    <row r="52" spans="1:4" x14ac:dyDescent="0.25">
      <c r="A52" s="35" t="s">
        <v>342</v>
      </c>
      <c r="B52" s="34">
        <v>2188.8200000000002</v>
      </c>
      <c r="C52" s="34">
        <v>0</v>
      </c>
      <c r="D52" s="10">
        <v>0</v>
      </c>
    </row>
    <row r="53" spans="1:4" x14ac:dyDescent="0.25">
      <c r="A53" s="35" t="s">
        <v>343</v>
      </c>
      <c r="B53" s="34">
        <v>3510.7820000000002</v>
      </c>
      <c r="C53" s="34">
        <v>0</v>
      </c>
      <c r="D53" s="10">
        <v>0</v>
      </c>
    </row>
    <row r="54" spans="1:4" x14ac:dyDescent="0.25">
      <c r="A54" s="35" t="s">
        <v>345</v>
      </c>
      <c r="B54" s="34">
        <v>36676.847000000002</v>
      </c>
      <c r="C54" s="34">
        <v>0</v>
      </c>
      <c r="D54" s="10">
        <v>0</v>
      </c>
    </row>
    <row r="55" spans="1:4" x14ac:dyDescent="0.25">
      <c r="A55" s="35" t="s">
        <v>346</v>
      </c>
      <c r="B55" s="34">
        <v>8568.0669999999991</v>
      </c>
      <c r="C55" s="34">
        <v>0</v>
      </c>
      <c r="D55" s="10">
        <v>0</v>
      </c>
    </row>
    <row r="56" spans="1:4" x14ac:dyDescent="0.25">
      <c r="A56" s="35" t="s">
        <v>348</v>
      </c>
      <c r="B56" s="34">
        <v>233.12</v>
      </c>
      <c r="C56" s="34">
        <v>0</v>
      </c>
      <c r="D56" s="10">
        <v>0</v>
      </c>
    </row>
    <row r="57" spans="1:4" x14ac:dyDescent="0.25">
      <c r="A57" s="35" t="s">
        <v>349</v>
      </c>
      <c r="B57" s="34">
        <v>48522.928999999996</v>
      </c>
      <c r="C57" s="34">
        <v>0</v>
      </c>
      <c r="D57" s="10">
        <v>0</v>
      </c>
    </row>
    <row r="58" spans="1:4" x14ac:dyDescent="0.25">
      <c r="A58" s="35" t="s">
        <v>350</v>
      </c>
      <c r="B58" s="34">
        <v>271.08</v>
      </c>
      <c r="C58" s="34">
        <v>0</v>
      </c>
      <c r="D58" s="10">
        <v>0</v>
      </c>
    </row>
    <row r="59" spans="1:4" x14ac:dyDescent="0.25">
      <c r="A59" s="35" t="s">
        <v>352</v>
      </c>
      <c r="B59" s="34">
        <v>25212.421999999999</v>
      </c>
      <c r="C59" s="34">
        <v>0</v>
      </c>
      <c r="D59" s="10">
        <v>0</v>
      </c>
    </row>
    <row r="60" spans="1:4" x14ac:dyDescent="0.25">
      <c r="A60" s="35" t="s">
        <v>356</v>
      </c>
      <c r="B60" s="34">
        <v>1168.2139999999999</v>
      </c>
      <c r="C60" s="34">
        <v>0</v>
      </c>
      <c r="D60" s="10">
        <v>0</v>
      </c>
    </row>
    <row r="61" spans="1:4" x14ac:dyDescent="0.25">
      <c r="A61" s="35" t="s">
        <v>357</v>
      </c>
      <c r="B61" s="34">
        <v>92557.659</v>
      </c>
      <c r="C61" s="34">
        <v>0</v>
      </c>
      <c r="D61" s="10">
        <v>0</v>
      </c>
    </row>
    <row r="62" spans="1:4" x14ac:dyDescent="0.25">
      <c r="A62" s="35" t="s">
        <v>358</v>
      </c>
      <c r="B62" s="34">
        <v>16407.221000000001</v>
      </c>
      <c r="C62" s="34">
        <v>0</v>
      </c>
      <c r="D62" s="10">
        <v>0</v>
      </c>
    </row>
    <row r="63" spans="1:4" x14ac:dyDescent="0.25">
      <c r="A63" s="35"/>
      <c r="B63" s="34"/>
      <c r="C63" s="34"/>
      <c r="D63" s="10"/>
    </row>
    <row r="64" spans="1:4" ht="15.75" thickBot="1" x14ac:dyDescent="0.3">
      <c r="A64" s="36"/>
      <c r="B64" s="37"/>
      <c r="C64" s="37"/>
      <c r="D64" s="16"/>
    </row>
    <row r="65" spans="1:4" ht="16.5" thickTop="1" thickBot="1" x14ac:dyDescent="0.3">
      <c r="A65" s="1"/>
      <c r="B65" s="17">
        <f>SUM(B4:B64)</f>
        <v>16087761.391999997</v>
      </c>
      <c r="D65" s="17">
        <f>SUM(D4:D64)</f>
        <v>7833030.3329449426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6" max="6" width="13.28515625" bestFit="1" customWidth="1"/>
    <col min="7" max="7" width="9.140625" customWidth="1"/>
    <col min="8" max="8" width="8" customWidth="1"/>
  </cols>
  <sheetData>
    <row r="1" spans="1:9" ht="19.5" x14ac:dyDescent="0.35">
      <c r="A1" s="3" t="s">
        <v>32</v>
      </c>
      <c r="B1" s="95">
        <v>2014</v>
      </c>
      <c r="D1" s="8" t="s">
        <v>2</v>
      </c>
      <c r="H1" s="130">
        <v>1014</v>
      </c>
      <c r="I1" t="s">
        <v>6</v>
      </c>
    </row>
    <row r="2" spans="1:9" ht="18.75" x14ac:dyDescent="0.3">
      <c r="A2" s="3"/>
      <c r="B2" s="11" t="s">
        <v>31</v>
      </c>
      <c r="C2" s="11" t="s">
        <v>1</v>
      </c>
      <c r="D2" s="11" t="s">
        <v>5</v>
      </c>
      <c r="E2" s="4"/>
      <c r="F2" s="40" t="s">
        <v>9</v>
      </c>
      <c r="G2" s="38">
        <v>2014</v>
      </c>
      <c r="H2" s="41"/>
    </row>
    <row r="3" spans="1:9" ht="19.5" x14ac:dyDescent="0.35">
      <c r="A3" s="5" t="s">
        <v>0</v>
      </c>
      <c r="B3" s="12"/>
      <c r="C3" s="12" t="s">
        <v>7</v>
      </c>
      <c r="D3" s="12" t="s">
        <v>8</v>
      </c>
      <c r="E3" s="7"/>
    </row>
    <row r="4" spans="1:9" x14ac:dyDescent="0.25">
      <c r="A4" s="33" t="s">
        <v>194</v>
      </c>
      <c r="B4" s="34">
        <v>321265</v>
      </c>
      <c r="C4" s="98">
        <f>IF(B4&lt;&gt;0,$H$1,"")</f>
        <v>1014</v>
      </c>
      <c r="D4" s="10">
        <f>(+B4*C4)/2000</f>
        <v>162881.35500000001</v>
      </c>
      <c r="F4" s="131" t="s">
        <v>437</v>
      </c>
      <c r="G4" s="131"/>
    </row>
    <row r="5" spans="1:9" x14ac:dyDescent="0.25">
      <c r="A5" s="33" t="s">
        <v>198</v>
      </c>
      <c r="B5" s="34">
        <v>875</v>
      </c>
      <c r="C5" s="98">
        <f t="shared" ref="C5:C68" si="0">IF(B5&lt;&gt;0,$H$1,"")</f>
        <v>1014</v>
      </c>
      <c r="D5" s="10">
        <f t="shared" ref="D5:D68" si="1">(+B5*C5)/2000</f>
        <v>443.625</v>
      </c>
      <c r="F5" s="132">
        <v>3167830.5051870598</v>
      </c>
      <c r="G5" s="131" t="s">
        <v>438</v>
      </c>
    </row>
    <row r="6" spans="1:9" x14ac:dyDescent="0.25">
      <c r="A6" s="33" t="s">
        <v>200</v>
      </c>
      <c r="B6" s="34">
        <v>-2005870</v>
      </c>
      <c r="C6" s="98">
        <f t="shared" si="0"/>
        <v>1014</v>
      </c>
      <c r="D6" s="10">
        <f t="shared" si="1"/>
        <v>-1016976.09</v>
      </c>
    </row>
    <row r="7" spans="1:9" x14ac:dyDescent="0.25">
      <c r="A7" s="33" t="s">
        <v>201</v>
      </c>
      <c r="B7" s="34">
        <v>1096755</v>
      </c>
      <c r="C7" s="98">
        <f t="shared" si="0"/>
        <v>1014</v>
      </c>
      <c r="D7" s="10">
        <f t="shared" si="1"/>
        <v>556054.78500000003</v>
      </c>
    </row>
    <row r="8" spans="1:9" x14ac:dyDescent="0.25">
      <c r="A8" s="33" t="s">
        <v>175</v>
      </c>
      <c r="B8" s="34">
        <v>169672</v>
      </c>
      <c r="C8" s="98">
        <f t="shared" si="0"/>
        <v>1014</v>
      </c>
      <c r="D8" s="10">
        <f t="shared" si="1"/>
        <v>86023.703999999998</v>
      </c>
    </row>
    <row r="9" spans="1:9" x14ac:dyDescent="0.25">
      <c r="A9" s="33" t="s">
        <v>204</v>
      </c>
      <c r="B9" s="34">
        <v>200</v>
      </c>
      <c r="C9" s="98">
        <f t="shared" si="0"/>
        <v>1014</v>
      </c>
      <c r="D9" s="10">
        <f t="shared" si="1"/>
        <v>101.4</v>
      </c>
    </row>
    <row r="10" spans="1:9" x14ac:dyDescent="0.25">
      <c r="A10" s="33" t="s">
        <v>206</v>
      </c>
      <c r="B10" s="34">
        <v>65176</v>
      </c>
      <c r="C10" s="98">
        <f t="shared" si="0"/>
        <v>1014</v>
      </c>
      <c r="D10" s="10">
        <f t="shared" si="1"/>
        <v>33044.232000000004</v>
      </c>
    </row>
    <row r="11" spans="1:9" x14ac:dyDescent="0.25">
      <c r="A11" s="33" t="s">
        <v>207</v>
      </c>
      <c r="B11" s="34">
        <v>47482</v>
      </c>
      <c r="C11" s="98">
        <f t="shared" si="0"/>
        <v>1014</v>
      </c>
      <c r="D11" s="10">
        <f t="shared" si="1"/>
        <v>24073.374</v>
      </c>
    </row>
    <row r="12" spans="1:9" x14ac:dyDescent="0.25">
      <c r="A12" s="33" t="s">
        <v>176</v>
      </c>
      <c r="B12" s="34">
        <v>609585</v>
      </c>
      <c r="C12" s="98">
        <f t="shared" si="0"/>
        <v>1014</v>
      </c>
      <c r="D12" s="10">
        <f t="shared" si="1"/>
        <v>309059.59499999997</v>
      </c>
    </row>
    <row r="13" spans="1:9" x14ac:dyDescent="0.25">
      <c r="A13" s="33" t="s">
        <v>208</v>
      </c>
      <c r="B13" s="34">
        <v>4821</v>
      </c>
      <c r="C13" s="98">
        <f t="shared" si="0"/>
        <v>1014</v>
      </c>
      <c r="D13" s="10">
        <f t="shared" si="1"/>
        <v>2444.2469999999998</v>
      </c>
    </row>
    <row r="14" spans="1:9" x14ac:dyDescent="0.25">
      <c r="A14" s="33" t="s">
        <v>189</v>
      </c>
      <c r="B14" s="34">
        <v>145653</v>
      </c>
      <c r="C14" s="98">
        <f t="shared" si="0"/>
        <v>1014</v>
      </c>
      <c r="D14" s="10">
        <f t="shared" si="1"/>
        <v>73846.070999999996</v>
      </c>
    </row>
    <row r="15" spans="1:9" x14ac:dyDescent="0.25">
      <c r="A15" s="33" t="s">
        <v>211</v>
      </c>
      <c r="B15" s="34">
        <v>10</v>
      </c>
      <c r="C15" s="98">
        <f t="shared" si="0"/>
        <v>1014</v>
      </c>
      <c r="D15" s="10">
        <f t="shared" si="1"/>
        <v>5.07</v>
      </c>
    </row>
    <row r="16" spans="1:9" x14ac:dyDescent="0.25">
      <c r="A16" s="33" t="s">
        <v>212</v>
      </c>
      <c r="B16" s="34">
        <v>5396</v>
      </c>
      <c r="C16" s="98">
        <f t="shared" si="0"/>
        <v>1014</v>
      </c>
      <c r="D16" s="10">
        <f t="shared" si="1"/>
        <v>2735.7719999999999</v>
      </c>
    </row>
    <row r="17" spans="1:4" x14ac:dyDescent="0.25">
      <c r="A17" s="33" t="s">
        <v>213</v>
      </c>
      <c r="B17" s="34">
        <v>2270</v>
      </c>
      <c r="C17" s="98">
        <f t="shared" si="0"/>
        <v>1014</v>
      </c>
      <c r="D17" s="10">
        <f t="shared" si="1"/>
        <v>1150.8900000000001</v>
      </c>
    </row>
    <row r="18" spans="1:4" x14ac:dyDescent="0.25">
      <c r="A18" s="33" t="s">
        <v>177</v>
      </c>
      <c r="B18" s="34">
        <v>20</v>
      </c>
      <c r="C18" s="98">
        <f t="shared" si="0"/>
        <v>1014</v>
      </c>
      <c r="D18" s="10">
        <f t="shared" si="1"/>
        <v>10.14</v>
      </c>
    </row>
    <row r="19" spans="1:4" x14ac:dyDescent="0.25">
      <c r="A19" s="33" t="s">
        <v>215</v>
      </c>
      <c r="B19" s="34">
        <v>825</v>
      </c>
      <c r="C19" s="98">
        <f t="shared" si="0"/>
        <v>1014</v>
      </c>
      <c r="D19" s="10">
        <f t="shared" si="1"/>
        <v>418.27499999999998</v>
      </c>
    </row>
    <row r="20" spans="1:4" x14ac:dyDescent="0.25">
      <c r="A20" s="33" t="s">
        <v>179</v>
      </c>
      <c r="B20" s="34">
        <v>277023</v>
      </c>
      <c r="C20" s="98">
        <f t="shared" si="0"/>
        <v>1014</v>
      </c>
      <c r="D20" s="10">
        <f t="shared" si="1"/>
        <v>140450.66099999999</v>
      </c>
    </row>
    <row r="21" spans="1:4" x14ac:dyDescent="0.25">
      <c r="A21" s="33" t="s">
        <v>219</v>
      </c>
      <c r="B21" s="34">
        <v>611857</v>
      </c>
      <c r="C21" s="98">
        <f t="shared" si="0"/>
        <v>1014</v>
      </c>
      <c r="D21" s="10">
        <f t="shared" si="1"/>
        <v>310211.49900000001</v>
      </c>
    </row>
    <row r="22" spans="1:4" x14ac:dyDescent="0.25">
      <c r="A22" s="33" t="s">
        <v>221</v>
      </c>
      <c r="B22" s="34">
        <v>100</v>
      </c>
      <c r="C22" s="98">
        <f t="shared" si="0"/>
        <v>1014</v>
      </c>
      <c r="D22" s="10">
        <f t="shared" si="1"/>
        <v>50.7</v>
      </c>
    </row>
    <row r="23" spans="1:4" x14ac:dyDescent="0.25">
      <c r="A23" s="33" t="s">
        <v>223</v>
      </c>
      <c r="B23" s="34">
        <v>12875</v>
      </c>
      <c r="C23" s="98">
        <f t="shared" si="0"/>
        <v>1014</v>
      </c>
      <c r="D23" s="10">
        <f t="shared" si="1"/>
        <v>6527.625</v>
      </c>
    </row>
    <row r="24" spans="1:4" x14ac:dyDescent="0.25">
      <c r="A24" s="33" t="s">
        <v>190</v>
      </c>
      <c r="B24" s="34">
        <v>187630</v>
      </c>
      <c r="C24" s="98">
        <f t="shared" si="0"/>
        <v>1014</v>
      </c>
      <c r="D24" s="10">
        <f t="shared" si="1"/>
        <v>95128.41</v>
      </c>
    </row>
    <row r="25" spans="1:4" x14ac:dyDescent="0.25">
      <c r="A25" s="33" t="s">
        <v>226</v>
      </c>
      <c r="B25" s="34">
        <v>12652</v>
      </c>
      <c r="C25" s="98">
        <f t="shared" si="0"/>
        <v>1014</v>
      </c>
      <c r="D25" s="10">
        <f t="shared" si="1"/>
        <v>6414.5640000000003</v>
      </c>
    </row>
    <row r="26" spans="1:4" x14ac:dyDescent="0.25">
      <c r="A26" s="33" t="s">
        <v>230</v>
      </c>
      <c r="B26" s="34">
        <v>716696</v>
      </c>
      <c r="C26" s="98">
        <f t="shared" si="0"/>
        <v>1014</v>
      </c>
      <c r="D26" s="10">
        <f t="shared" si="1"/>
        <v>363364.87199999997</v>
      </c>
    </row>
    <row r="27" spans="1:4" x14ac:dyDescent="0.25">
      <c r="A27" s="33" t="s">
        <v>232</v>
      </c>
      <c r="B27" s="34">
        <v>12466</v>
      </c>
      <c r="C27" s="98">
        <f t="shared" si="0"/>
        <v>1014</v>
      </c>
      <c r="D27" s="10">
        <f t="shared" si="1"/>
        <v>6320.2619999999997</v>
      </c>
    </row>
    <row r="28" spans="1:4" x14ac:dyDescent="0.25">
      <c r="A28" s="33" t="s">
        <v>235</v>
      </c>
      <c r="B28" s="34">
        <v>20400</v>
      </c>
      <c r="C28" s="98">
        <f t="shared" si="0"/>
        <v>1014</v>
      </c>
      <c r="D28" s="10">
        <f t="shared" si="1"/>
        <v>10342.799999999999</v>
      </c>
    </row>
    <row r="29" spans="1:4" x14ac:dyDescent="0.25">
      <c r="A29" s="33" t="s">
        <v>236</v>
      </c>
      <c r="B29" s="34">
        <v>156705</v>
      </c>
      <c r="C29" s="98">
        <f t="shared" si="0"/>
        <v>1014</v>
      </c>
      <c r="D29" s="10">
        <f t="shared" si="1"/>
        <v>79449.434999999998</v>
      </c>
    </row>
    <row r="30" spans="1:4" x14ac:dyDescent="0.25">
      <c r="A30" s="33" t="s">
        <v>180</v>
      </c>
      <c r="B30" s="34">
        <v>1790503</v>
      </c>
      <c r="C30" s="98">
        <f t="shared" si="0"/>
        <v>1014</v>
      </c>
      <c r="D30" s="10">
        <f t="shared" si="1"/>
        <v>907785.02099999995</v>
      </c>
    </row>
    <row r="31" spans="1:4" x14ac:dyDescent="0.25">
      <c r="A31" s="33" t="s">
        <v>246</v>
      </c>
      <c r="B31" s="34">
        <v>1</v>
      </c>
      <c r="C31" s="98">
        <f t="shared" si="0"/>
        <v>1014</v>
      </c>
      <c r="D31" s="10">
        <f t="shared" si="1"/>
        <v>0.50700000000000001</v>
      </c>
    </row>
    <row r="32" spans="1:4" x14ac:dyDescent="0.25">
      <c r="A32" s="33" t="s">
        <v>248</v>
      </c>
      <c r="B32" s="34">
        <v>56233</v>
      </c>
      <c r="C32" s="98">
        <f t="shared" si="0"/>
        <v>1014</v>
      </c>
      <c r="D32" s="10">
        <f t="shared" si="1"/>
        <v>28510.131000000001</v>
      </c>
    </row>
    <row r="33" spans="1:4" x14ac:dyDescent="0.25">
      <c r="A33" s="33" t="s">
        <v>249</v>
      </c>
      <c r="B33" s="34">
        <v>4000</v>
      </c>
      <c r="C33" s="98">
        <f t="shared" si="0"/>
        <v>1014</v>
      </c>
      <c r="D33" s="10">
        <f t="shared" si="1"/>
        <v>2028</v>
      </c>
    </row>
    <row r="34" spans="1:4" x14ac:dyDescent="0.25">
      <c r="A34" s="33" t="s">
        <v>250</v>
      </c>
      <c r="B34" s="34">
        <v>4000</v>
      </c>
      <c r="C34" s="98">
        <f t="shared" si="0"/>
        <v>1014</v>
      </c>
      <c r="D34" s="10">
        <f t="shared" si="1"/>
        <v>2028</v>
      </c>
    </row>
    <row r="35" spans="1:4" x14ac:dyDescent="0.25">
      <c r="A35" s="33" t="s">
        <v>251</v>
      </c>
      <c r="B35" s="34">
        <v>871</v>
      </c>
      <c r="C35" s="98">
        <f t="shared" si="0"/>
        <v>1014</v>
      </c>
      <c r="D35" s="10">
        <f t="shared" si="1"/>
        <v>441.59699999999998</v>
      </c>
    </row>
    <row r="36" spans="1:4" x14ac:dyDescent="0.25">
      <c r="A36" s="33" t="s">
        <v>252</v>
      </c>
      <c r="B36" s="34">
        <v>1948</v>
      </c>
      <c r="C36" s="98">
        <f t="shared" si="0"/>
        <v>1014</v>
      </c>
      <c r="D36" s="10">
        <f t="shared" si="1"/>
        <v>987.63599999999997</v>
      </c>
    </row>
    <row r="37" spans="1:4" x14ac:dyDescent="0.25">
      <c r="A37" s="33" t="s">
        <v>254</v>
      </c>
      <c r="B37" s="34">
        <v>7707</v>
      </c>
      <c r="C37" s="98">
        <f t="shared" si="0"/>
        <v>1014</v>
      </c>
      <c r="D37" s="10">
        <f t="shared" si="1"/>
        <v>3907.4490000000001</v>
      </c>
    </row>
    <row r="38" spans="1:4" x14ac:dyDescent="0.25">
      <c r="A38" s="33" t="s">
        <v>257</v>
      </c>
      <c r="B38" s="34">
        <v>71357</v>
      </c>
      <c r="C38" s="98">
        <f t="shared" si="0"/>
        <v>1014</v>
      </c>
      <c r="D38" s="10">
        <f t="shared" si="1"/>
        <v>36177.999000000003</v>
      </c>
    </row>
    <row r="39" spans="1:4" x14ac:dyDescent="0.25">
      <c r="A39" s="33" t="s">
        <v>261</v>
      </c>
      <c r="B39" s="34">
        <v>183483</v>
      </c>
      <c r="C39" s="98">
        <f t="shared" si="0"/>
        <v>1014</v>
      </c>
      <c r="D39" s="10">
        <f t="shared" si="1"/>
        <v>93025.880999999994</v>
      </c>
    </row>
    <row r="40" spans="1:4" x14ac:dyDescent="0.25">
      <c r="A40" s="33" t="s">
        <v>183</v>
      </c>
      <c r="B40" s="34">
        <v>100896</v>
      </c>
      <c r="C40" s="98">
        <f t="shared" si="0"/>
        <v>1014</v>
      </c>
      <c r="D40" s="10">
        <f t="shared" si="1"/>
        <v>51154.271999999997</v>
      </c>
    </row>
    <row r="41" spans="1:4" x14ac:dyDescent="0.25">
      <c r="A41" s="33" t="s">
        <v>264</v>
      </c>
      <c r="B41" s="34">
        <v>5071</v>
      </c>
      <c r="C41" s="98">
        <f t="shared" si="0"/>
        <v>1014</v>
      </c>
      <c r="D41" s="10">
        <f t="shared" si="1"/>
        <v>2570.9969999999998</v>
      </c>
    </row>
    <row r="42" spans="1:4" x14ac:dyDescent="0.25">
      <c r="A42" s="33" t="s">
        <v>266</v>
      </c>
      <c r="B42" s="34">
        <v>2075</v>
      </c>
      <c r="C42" s="98">
        <f t="shared" si="0"/>
        <v>1014</v>
      </c>
      <c r="D42" s="10">
        <f t="shared" si="1"/>
        <v>1052.0250000000001</v>
      </c>
    </row>
    <row r="43" spans="1:4" x14ac:dyDescent="0.25">
      <c r="A43" s="33" t="s">
        <v>184</v>
      </c>
      <c r="B43" s="34">
        <v>69998</v>
      </c>
      <c r="C43" s="98">
        <f t="shared" si="0"/>
        <v>1014</v>
      </c>
      <c r="D43" s="10">
        <f t="shared" si="1"/>
        <v>35488.985999999997</v>
      </c>
    </row>
    <row r="44" spans="1:4" x14ac:dyDescent="0.25">
      <c r="A44" s="33" t="s">
        <v>185</v>
      </c>
      <c r="B44" s="34">
        <v>365203</v>
      </c>
      <c r="C44" s="98">
        <f t="shared" si="0"/>
        <v>1014</v>
      </c>
      <c r="D44" s="10">
        <f t="shared" si="1"/>
        <v>185157.921</v>
      </c>
    </row>
    <row r="45" spans="1:4" x14ac:dyDescent="0.25">
      <c r="A45" s="33" t="s">
        <v>272</v>
      </c>
      <c r="B45" s="34">
        <v>20464</v>
      </c>
      <c r="C45" s="98">
        <f t="shared" si="0"/>
        <v>1014</v>
      </c>
      <c r="D45" s="10">
        <f t="shared" si="1"/>
        <v>10375.248</v>
      </c>
    </row>
    <row r="46" spans="1:4" x14ac:dyDescent="0.25">
      <c r="A46" s="33" t="s">
        <v>273</v>
      </c>
      <c r="B46" s="34">
        <v>47417</v>
      </c>
      <c r="C46" s="98">
        <f t="shared" si="0"/>
        <v>1014</v>
      </c>
      <c r="D46" s="10">
        <f t="shared" si="1"/>
        <v>24040.419000000002</v>
      </c>
    </row>
    <row r="47" spans="1:4" x14ac:dyDescent="0.25">
      <c r="A47" s="33" t="s">
        <v>186</v>
      </c>
      <c r="B47" s="34">
        <v>151109</v>
      </c>
      <c r="C47" s="98">
        <f t="shared" si="0"/>
        <v>1014</v>
      </c>
      <c r="D47" s="10">
        <f t="shared" si="1"/>
        <v>76612.263000000006</v>
      </c>
    </row>
    <row r="48" spans="1:4" x14ac:dyDescent="0.25">
      <c r="A48" s="33" t="s">
        <v>276</v>
      </c>
      <c r="B48" s="34">
        <v>235629</v>
      </c>
      <c r="C48" s="98">
        <f t="shared" si="0"/>
        <v>1014</v>
      </c>
      <c r="D48" s="10">
        <f t="shared" si="1"/>
        <v>119463.90300000001</v>
      </c>
    </row>
    <row r="49" spans="1:4" x14ac:dyDescent="0.25">
      <c r="A49" s="33" t="s">
        <v>278</v>
      </c>
      <c r="B49" s="34">
        <v>4534</v>
      </c>
      <c r="C49" s="98">
        <f t="shared" si="0"/>
        <v>1014</v>
      </c>
      <c r="D49" s="10">
        <f t="shared" si="1"/>
        <v>2298.7379999999998</v>
      </c>
    </row>
    <row r="50" spans="1:4" x14ac:dyDescent="0.25">
      <c r="A50" s="33" t="s">
        <v>279</v>
      </c>
      <c r="B50" s="34">
        <v>51948</v>
      </c>
      <c r="C50" s="98">
        <f t="shared" si="0"/>
        <v>1014</v>
      </c>
      <c r="D50" s="10">
        <f t="shared" si="1"/>
        <v>26337.635999999999</v>
      </c>
    </row>
    <row r="51" spans="1:4" x14ac:dyDescent="0.25">
      <c r="A51" s="33" t="s">
        <v>188</v>
      </c>
      <c r="B51" s="34">
        <v>1300789</v>
      </c>
      <c r="C51" s="98">
        <f t="shared" si="0"/>
        <v>1014</v>
      </c>
      <c r="D51" s="10">
        <f t="shared" si="1"/>
        <v>659500.02300000004</v>
      </c>
    </row>
    <row r="52" spans="1:4" x14ac:dyDescent="0.25">
      <c r="A52" s="33" t="s">
        <v>281</v>
      </c>
      <c r="B52" s="34">
        <v>2410</v>
      </c>
      <c r="C52" s="98">
        <f t="shared" si="0"/>
        <v>1014</v>
      </c>
      <c r="D52" s="10">
        <f t="shared" si="1"/>
        <v>1221.8699999999999</v>
      </c>
    </row>
    <row r="53" spans="1:4" x14ac:dyDescent="0.25">
      <c r="A53" s="33" t="s">
        <v>284</v>
      </c>
      <c r="B53" s="34">
        <v>81172</v>
      </c>
      <c r="C53" s="98">
        <f t="shared" si="0"/>
        <v>1014</v>
      </c>
      <c r="D53" s="10">
        <f t="shared" si="1"/>
        <v>41154.203999999998</v>
      </c>
    </row>
    <row r="54" spans="1:4" x14ac:dyDescent="0.25">
      <c r="A54" s="33" t="s">
        <v>286</v>
      </c>
      <c r="B54" s="34">
        <v>452905</v>
      </c>
      <c r="C54" s="98">
        <f t="shared" si="0"/>
        <v>1014</v>
      </c>
      <c r="D54" s="10">
        <f t="shared" si="1"/>
        <v>229622.83499999999</v>
      </c>
    </row>
    <row r="55" spans="1:4" x14ac:dyDescent="0.25">
      <c r="A55" s="33" t="s">
        <v>173</v>
      </c>
      <c r="B55" s="34">
        <v>22326.400000000001</v>
      </c>
      <c r="C55" s="98">
        <f t="shared" si="0"/>
        <v>1014</v>
      </c>
      <c r="D55" s="10">
        <f t="shared" si="1"/>
        <v>11319.4848</v>
      </c>
    </row>
    <row r="56" spans="1:4" x14ac:dyDescent="0.25">
      <c r="A56" s="33" t="s">
        <v>181</v>
      </c>
      <c r="B56" s="34">
        <v>413000</v>
      </c>
      <c r="C56" s="98">
        <f t="shared" si="0"/>
        <v>1014</v>
      </c>
      <c r="D56" s="10">
        <f t="shared" si="1"/>
        <v>209391</v>
      </c>
    </row>
    <row r="57" spans="1:4" x14ac:dyDescent="0.25">
      <c r="A57" s="33" t="s">
        <v>178</v>
      </c>
      <c r="B57" s="34">
        <v>76073.797000000006</v>
      </c>
      <c r="C57" s="98">
        <f t="shared" si="0"/>
        <v>1014</v>
      </c>
      <c r="D57" s="10">
        <f t="shared" si="1"/>
        <v>38569.415079000006</v>
      </c>
    </row>
    <row r="58" spans="1:4" x14ac:dyDescent="0.25">
      <c r="A58" s="33" t="s">
        <v>190</v>
      </c>
      <c r="B58" s="34">
        <v>-25</v>
      </c>
      <c r="C58" s="98">
        <f t="shared" si="0"/>
        <v>1014</v>
      </c>
      <c r="D58" s="10">
        <f t="shared" si="1"/>
        <v>-12.675000000000001</v>
      </c>
    </row>
    <row r="59" spans="1:4" x14ac:dyDescent="0.25">
      <c r="A59" s="33" t="s">
        <v>181</v>
      </c>
      <c r="B59" s="34">
        <v>-413000</v>
      </c>
      <c r="C59" s="98">
        <f t="shared" si="0"/>
        <v>1014</v>
      </c>
      <c r="D59" s="10">
        <f t="shared" si="1"/>
        <v>-209391</v>
      </c>
    </row>
    <row r="60" spans="1:4" x14ac:dyDescent="0.25">
      <c r="A60" s="33" t="s">
        <v>194</v>
      </c>
      <c r="B60" s="34">
        <v>-60183</v>
      </c>
      <c r="C60" s="98">
        <f t="shared" si="0"/>
        <v>1014</v>
      </c>
      <c r="D60" s="10">
        <f t="shared" si="1"/>
        <v>-30512.780999999999</v>
      </c>
    </row>
    <row r="61" spans="1:4" x14ac:dyDescent="0.25">
      <c r="A61" s="33" t="s">
        <v>198</v>
      </c>
      <c r="B61" s="34">
        <v>-390</v>
      </c>
      <c r="C61" s="98">
        <f t="shared" si="0"/>
        <v>1014</v>
      </c>
      <c r="D61" s="10">
        <f t="shared" si="1"/>
        <v>-197.73</v>
      </c>
    </row>
    <row r="62" spans="1:4" x14ac:dyDescent="0.25">
      <c r="A62" s="33" t="s">
        <v>200</v>
      </c>
      <c r="B62" s="34">
        <v>2016042</v>
      </c>
      <c r="C62" s="98">
        <f t="shared" si="0"/>
        <v>1014</v>
      </c>
      <c r="D62" s="10">
        <f t="shared" si="1"/>
        <v>1022133.294</v>
      </c>
    </row>
    <row r="63" spans="1:4" x14ac:dyDescent="0.25">
      <c r="A63" s="33" t="s">
        <v>201</v>
      </c>
      <c r="B63" s="34">
        <v>-51111</v>
      </c>
      <c r="C63" s="98">
        <f t="shared" si="0"/>
        <v>1014</v>
      </c>
      <c r="D63" s="10">
        <f t="shared" si="1"/>
        <v>-25913.276999999998</v>
      </c>
    </row>
    <row r="64" spans="1:4" x14ac:dyDescent="0.25">
      <c r="A64" s="33" t="s">
        <v>175</v>
      </c>
      <c r="B64" s="34">
        <v>-159211</v>
      </c>
      <c r="C64" s="98">
        <f t="shared" si="0"/>
        <v>1014</v>
      </c>
      <c r="D64" s="10">
        <f t="shared" si="1"/>
        <v>-80719.976999999999</v>
      </c>
    </row>
    <row r="65" spans="1:4" x14ac:dyDescent="0.25">
      <c r="A65" s="33" t="s">
        <v>202</v>
      </c>
      <c r="B65" s="34">
        <v>-49</v>
      </c>
      <c r="C65" s="98">
        <f t="shared" si="0"/>
        <v>1014</v>
      </c>
      <c r="D65" s="10">
        <f t="shared" si="1"/>
        <v>-24.843</v>
      </c>
    </row>
    <row r="66" spans="1:4" x14ac:dyDescent="0.25">
      <c r="A66" s="33" t="s">
        <v>203</v>
      </c>
      <c r="B66" s="34">
        <v>-800</v>
      </c>
      <c r="C66" s="98">
        <f t="shared" si="0"/>
        <v>1014</v>
      </c>
      <c r="D66" s="10">
        <f t="shared" si="1"/>
        <v>-405.6</v>
      </c>
    </row>
    <row r="67" spans="1:4" x14ac:dyDescent="0.25">
      <c r="A67" s="33" t="s">
        <v>204</v>
      </c>
      <c r="B67" s="34">
        <v>-2400</v>
      </c>
      <c r="C67" s="98">
        <f t="shared" si="0"/>
        <v>1014</v>
      </c>
      <c r="D67" s="10">
        <f t="shared" si="1"/>
        <v>-1216.8</v>
      </c>
    </row>
    <row r="68" spans="1:4" x14ac:dyDescent="0.25">
      <c r="A68" s="33" t="s">
        <v>207</v>
      </c>
      <c r="B68" s="34">
        <v>-117424</v>
      </c>
      <c r="C68" s="98">
        <f t="shared" si="0"/>
        <v>1014</v>
      </c>
      <c r="D68" s="10">
        <f t="shared" si="1"/>
        <v>-59533.968000000001</v>
      </c>
    </row>
    <row r="69" spans="1:4" x14ac:dyDescent="0.25">
      <c r="A69" s="33" t="s">
        <v>176</v>
      </c>
      <c r="B69" s="34">
        <v>-190421</v>
      </c>
      <c r="C69" s="98">
        <f t="shared" ref="C69:C110" si="2">IF(B69&lt;&gt;0,$H$1,"")</f>
        <v>1014</v>
      </c>
      <c r="D69" s="10">
        <f t="shared" ref="D69:D110" si="3">(+B69*C69)/2000</f>
        <v>-96543.447</v>
      </c>
    </row>
    <row r="70" spans="1:4" x14ac:dyDescent="0.25">
      <c r="A70" s="33" t="s">
        <v>208</v>
      </c>
      <c r="B70" s="34">
        <v>-16609</v>
      </c>
      <c r="C70" s="98">
        <f t="shared" si="2"/>
        <v>1014</v>
      </c>
      <c r="D70" s="10">
        <f t="shared" si="3"/>
        <v>-8420.7630000000008</v>
      </c>
    </row>
    <row r="71" spans="1:4" x14ac:dyDescent="0.25">
      <c r="A71" s="33" t="s">
        <v>189</v>
      </c>
      <c r="B71" s="34">
        <v>-26800</v>
      </c>
      <c r="C71" s="98">
        <f t="shared" si="2"/>
        <v>1014</v>
      </c>
      <c r="D71" s="10">
        <f t="shared" si="3"/>
        <v>-13587.6</v>
      </c>
    </row>
    <row r="72" spans="1:4" x14ac:dyDescent="0.25">
      <c r="A72" s="33" t="s">
        <v>212</v>
      </c>
      <c r="B72" s="34">
        <v>-9222</v>
      </c>
      <c r="C72" s="98">
        <f t="shared" si="2"/>
        <v>1014</v>
      </c>
      <c r="D72" s="10">
        <f t="shared" si="3"/>
        <v>-4675.5540000000001</v>
      </c>
    </row>
    <row r="73" spans="1:4" x14ac:dyDescent="0.25">
      <c r="A73" s="33" t="s">
        <v>213</v>
      </c>
      <c r="B73" s="34">
        <v>-4124</v>
      </c>
      <c r="C73" s="98">
        <f t="shared" si="2"/>
        <v>1014</v>
      </c>
      <c r="D73" s="10">
        <f t="shared" si="3"/>
        <v>-2090.8679999999999</v>
      </c>
    </row>
    <row r="74" spans="1:4" x14ac:dyDescent="0.25">
      <c r="A74" s="33" t="s">
        <v>214</v>
      </c>
      <c r="B74" s="34">
        <v>-1200</v>
      </c>
      <c r="C74" s="98">
        <f t="shared" si="2"/>
        <v>1014</v>
      </c>
      <c r="D74" s="10">
        <f t="shared" si="3"/>
        <v>-608.4</v>
      </c>
    </row>
    <row r="75" spans="1:4" x14ac:dyDescent="0.25">
      <c r="A75" s="33" t="s">
        <v>177</v>
      </c>
      <c r="B75" s="34">
        <v>-119</v>
      </c>
      <c r="C75" s="98">
        <f t="shared" si="2"/>
        <v>1014</v>
      </c>
      <c r="D75" s="10">
        <f t="shared" si="3"/>
        <v>-60.332999999999998</v>
      </c>
    </row>
    <row r="76" spans="1:4" x14ac:dyDescent="0.25">
      <c r="A76" s="33" t="s">
        <v>215</v>
      </c>
      <c r="B76" s="34">
        <v>-947</v>
      </c>
      <c r="C76" s="98">
        <f t="shared" si="2"/>
        <v>1014</v>
      </c>
      <c r="D76" s="10">
        <f t="shared" si="3"/>
        <v>-480.12900000000002</v>
      </c>
    </row>
    <row r="77" spans="1:4" x14ac:dyDescent="0.25">
      <c r="A77" s="33" t="s">
        <v>179</v>
      </c>
      <c r="B77" s="34">
        <v>-1819</v>
      </c>
      <c r="C77" s="98">
        <f t="shared" si="2"/>
        <v>1014</v>
      </c>
      <c r="D77" s="10">
        <f t="shared" si="3"/>
        <v>-922.23299999999995</v>
      </c>
    </row>
    <row r="78" spans="1:4" x14ac:dyDescent="0.25">
      <c r="A78" s="33" t="s">
        <v>219</v>
      </c>
      <c r="B78" s="34">
        <v>-136984</v>
      </c>
      <c r="C78" s="98">
        <f t="shared" si="2"/>
        <v>1014</v>
      </c>
      <c r="D78" s="10">
        <f t="shared" si="3"/>
        <v>-69450.888000000006</v>
      </c>
    </row>
    <row r="79" spans="1:4" x14ac:dyDescent="0.25">
      <c r="A79" s="33" t="s">
        <v>223</v>
      </c>
      <c r="B79" s="34">
        <v>-38757</v>
      </c>
      <c r="C79" s="98">
        <f t="shared" si="2"/>
        <v>1014</v>
      </c>
      <c r="D79" s="10">
        <f t="shared" si="3"/>
        <v>-19649.798999999999</v>
      </c>
    </row>
    <row r="80" spans="1:4" x14ac:dyDescent="0.25">
      <c r="A80" s="33" t="s">
        <v>190</v>
      </c>
      <c r="B80" s="34">
        <v>-16580</v>
      </c>
      <c r="C80" s="98">
        <f t="shared" si="2"/>
        <v>1014</v>
      </c>
      <c r="D80" s="10">
        <f t="shared" si="3"/>
        <v>-8406.06</v>
      </c>
    </row>
    <row r="81" spans="1:4" x14ac:dyDescent="0.25">
      <c r="A81" s="33" t="s">
        <v>290</v>
      </c>
      <c r="B81" s="34">
        <v>-27508</v>
      </c>
      <c r="C81" s="98">
        <f t="shared" si="2"/>
        <v>1014</v>
      </c>
      <c r="D81" s="10">
        <f t="shared" si="3"/>
        <v>-13946.556</v>
      </c>
    </row>
    <row r="82" spans="1:4" x14ac:dyDescent="0.25">
      <c r="A82" s="33" t="s">
        <v>226</v>
      </c>
      <c r="B82" s="34">
        <v>-27899</v>
      </c>
      <c r="C82" s="98">
        <f t="shared" si="2"/>
        <v>1014</v>
      </c>
      <c r="D82" s="10">
        <f t="shared" si="3"/>
        <v>-14144.793</v>
      </c>
    </row>
    <row r="83" spans="1:4" x14ac:dyDescent="0.25">
      <c r="A83" s="33" t="s">
        <v>230</v>
      </c>
      <c r="B83" s="34">
        <v>-536036</v>
      </c>
      <c r="C83" s="98">
        <f t="shared" si="2"/>
        <v>1014</v>
      </c>
      <c r="D83" s="10">
        <f t="shared" si="3"/>
        <v>-271770.25199999998</v>
      </c>
    </row>
    <row r="84" spans="1:4" x14ac:dyDescent="0.25">
      <c r="A84" s="33" t="s">
        <v>232</v>
      </c>
      <c r="B84" s="34">
        <v>-15235</v>
      </c>
      <c r="C84" s="98">
        <f t="shared" si="2"/>
        <v>1014</v>
      </c>
      <c r="D84" s="10">
        <f t="shared" si="3"/>
        <v>-7724.1450000000004</v>
      </c>
    </row>
    <row r="85" spans="1:4" x14ac:dyDescent="0.25">
      <c r="A85" s="33" t="s">
        <v>235</v>
      </c>
      <c r="B85" s="34">
        <v>-2600</v>
      </c>
      <c r="C85" s="98">
        <f t="shared" si="2"/>
        <v>1014</v>
      </c>
      <c r="D85" s="10">
        <f t="shared" si="3"/>
        <v>-1318.2</v>
      </c>
    </row>
    <row r="86" spans="1:4" x14ac:dyDescent="0.25">
      <c r="A86" s="33" t="s">
        <v>236</v>
      </c>
      <c r="B86" s="34">
        <v>-5071</v>
      </c>
      <c r="C86" s="98">
        <f t="shared" si="2"/>
        <v>1014</v>
      </c>
      <c r="D86" s="10">
        <f t="shared" si="3"/>
        <v>-2570.9969999999998</v>
      </c>
    </row>
    <row r="87" spans="1:4" x14ac:dyDescent="0.25">
      <c r="A87" s="33" t="s">
        <v>180</v>
      </c>
      <c r="B87" s="34">
        <v>-332554</v>
      </c>
      <c r="C87" s="98">
        <f t="shared" si="2"/>
        <v>1014</v>
      </c>
      <c r="D87" s="10">
        <f t="shared" si="3"/>
        <v>-168604.878</v>
      </c>
    </row>
    <row r="88" spans="1:4" x14ac:dyDescent="0.25">
      <c r="A88" s="33" t="s">
        <v>246</v>
      </c>
      <c r="B88" s="34">
        <v>-24</v>
      </c>
      <c r="C88" s="98">
        <f t="shared" si="2"/>
        <v>1014</v>
      </c>
      <c r="D88" s="10">
        <f t="shared" si="3"/>
        <v>-12.167999999999999</v>
      </c>
    </row>
    <row r="89" spans="1:4" x14ac:dyDescent="0.25">
      <c r="A89" s="33" t="s">
        <v>291</v>
      </c>
      <c r="B89" s="34">
        <v>-159</v>
      </c>
      <c r="C89" s="98">
        <f t="shared" si="2"/>
        <v>1014</v>
      </c>
      <c r="D89" s="10">
        <f t="shared" si="3"/>
        <v>-80.613</v>
      </c>
    </row>
    <row r="90" spans="1:4" x14ac:dyDescent="0.25">
      <c r="A90" s="33" t="s">
        <v>248</v>
      </c>
      <c r="B90" s="34">
        <v>-159</v>
      </c>
      <c r="C90" s="98">
        <f t="shared" si="2"/>
        <v>1014</v>
      </c>
      <c r="D90" s="10">
        <f t="shared" si="3"/>
        <v>-80.613</v>
      </c>
    </row>
    <row r="91" spans="1:4" x14ac:dyDescent="0.25">
      <c r="A91" s="33" t="s">
        <v>250</v>
      </c>
      <c r="B91" s="34">
        <v>-400</v>
      </c>
      <c r="C91" s="98">
        <f t="shared" si="2"/>
        <v>1014</v>
      </c>
      <c r="D91" s="10">
        <f t="shared" si="3"/>
        <v>-202.8</v>
      </c>
    </row>
    <row r="92" spans="1:4" x14ac:dyDescent="0.25">
      <c r="A92" s="33" t="s">
        <v>251</v>
      </c>
      <c r="B92" s="34">
        <v>-3481</v>
      </c>
      <c r="C92" s="98">
        <f t="shared" si="2"/>
        <v>1014</v>
      </c>
      <c r="D92" s="10">
        <f t="shared" si="3"/>
        <v>-1764.867</v>
      </c>
    </row>
    <row r="93" spans="1:4" x14ac:dyDescent="0.25">
      <c r="A93" s="33" t="s">
        <v>252</v>
      </c>
      <c r="B93" s="34">
        <v>-68236</v>
      </c>
      <c r="C93" s="98">
        <f t="shared" si="2"/>
        <v>1014</v>
      </c>
      <c r="D93" s="10">
        <f t="shared" si="3"/>
        <v>-34595.652000000002</v>
      </c>
    </row>
    <row r="94" spans="1:4" x14ac:dyDescent="0.25">
      <c r="A94" s="33" t="s">
        <v>254</v>
      </c>
      <c r="B94" s="34">
        <v>-1855</v>
      </c>
      <c r="C94" s="98">
        <f t="shared" si="2"/>
        <v>1014</v>
      </c>
      <c r="D94" s="10">
        <f t="shared" si="3"/>
        <v>-940.48500000000001</v>
      </c>
    </row>
    <row r="95" spans="1:4" x14ac:dyDescent="0.25">
      <c r="A95" s="33" t="s">
        <v>257</v>
      </c>
      <c r="B95" s="34">
        <v>-109675</v>
      </c>
      <c r="C95" s="98">
        <f t="shared" si="2"/>
        <v>1014</v>
      </c>
      <c r="D95" s="10">
        <f t="shared" si="3"/>
        <v>-55605.224999999999</v>
      </c>
    </row>
    <row r="96" spans="1:4" x14ac:dyDescent="0.25">
      <c r="A96" s="33" t="s">
        <v>261</v>
      </c>
      <c r="B96" s="34">
        <v>-123272</v>
      </c>
      <c r="C96" s="98">
        <f t="shared" si="2"/>
        <v>1014</v>
      </c>
      <c r="D96" s="10">
        <f t="shared" si="3"/>
        <v>-62498.904000000002</v>
      </c>
    </row>
    <row r="97" spans="1:4" x14ac:dyDescent="0.25">
      <c r="A97" s="33" t="s">
        <v>183</v>
      </c>
      <c r="B97" s="34">
        <v>-401453</v>
      </c>
      <c r="C97" s="98">
        <f t="shared" si="2"/>
        <v>1014</v>
      </c>
      <c r="D97" s="10">
        <f t="shared" si="3"/>
        <v>-203536.671</v>
      </c>
    </row>
    <row r="98" spans="1:4" x14ac:dyDescent="0.25">
      <c r="A98" s="33" t="s">
        <v>264</v>
      </c>
      <c r="B98" s="34">
        <v>-21430</v>
      </c>
      <c r="C98" s="98">
        <f t="shared" si="2"/>
        <v>1014</v>
      </c>
      <c r="D98" s="10">
        <f t="shared" si="3"/>
        <v>-10865.01</v>
      </c>
    </row>
    <row r="99" spans="1:4" x14ac:dyDescent="0.25">
      <c r="A99" s="33" t="s">
        <v>266</v>
      </c>
      <c r="B99" s="34">
        <v>-4593</v>
      </c>
      <c r="C99" s="98">
        <f t="shared" si="2"/>
        <v>1014</v>
      </c>
      <c r="D99" s="10">
        <f t="shared" si="3"/>
        <v>-2328.6509999999998</v>
      </c>
    </row>
    <row r="100" spans="1:4" x14ac:dyDescent="0.25">
      <c r="A100" s="33" t="s">
        <v>184</v>
      </c>
      <c r="B100" s="34">
        <v>-20865</v>
      </c>
      <c r="C100" s="98">
        <f t="shared" si="2"/>
        <v>1014</v>
      </c>
      <c r="D100" s="10">
        <f t="shared" si="3"/>
        <v>-10578.555</v>
      </c>
    </row>
    <row r="101" spans="1:4" x14ac:dyDescent="0.25">
      <c r="A101" s="33" t="s">
        <v>185</v>
      </c>
      <c r="B101" s="34">
        <v>-210325</v>
      </c>
      <c r="C101" s="98">
        <f t="shared" si="2"/>
        <v>1014</v>
      </c>
      <c r="D101" s="10">
        <f t="shared" si="3"/>
        <v>-106634.77499999999</v>
      </c>
    </row>
    <row r="102" spans="1:4" x14ac:dyDescent="0.25">
      <c r="A102" s="33" t="s">
        <v>272</v>
      </c>
      <c r="B102" s="34">
        <v>-12377</v>
      </c>
      <c r="C102" s="98">
        <f t="shared" si="2"/>
        <v>1014</v>
      </c>
      <c r="D102" s="10">
        <f t="shared" si="3"/>
        <v>-6275.1390000000001</v>
      </c>
    </row>
    <row r="103" spans="1:4" x14ac:dyDescent="0.25">
      <c r="A103" s="33" t="s">
        <v>186</v>
      </c>
      <c r="B103" s="34">
        <v>-14402</v>
      </c>
      <c r="C103" s="98">
        <f t="shared" si="2"/>
        <v>1014</v>
      </c>
      <c r="D103" s="10">
        <f t="shared" si="3"/>
        <v>-7301.8140000000003</v>
      </c>
    </row>
    <row r="104" spans="1:4" x14ac:dyDescent="0.25">
      <c r="A104" s="33" t="s">
        <v>276</v>
      </c>
      <c r="B104" s="34">
        <v>-52930</v>
      </c>
      <c r="C104" s="98">
        <f t="shared" si="2"/>
        <v>1014</v>
      </c>
      <c r="D104" s="10">
        <f t="shared" si="3"/>
        <v>-26835.51</v>
      </c>
    </row>
    <row r="105" spans="1:4" x14ac:dyDescent="0.25">
      <c r="A105" s="33" t="s">
        <v>278</v>
      </c>
      <c r="B105" s="34">
        <v>-512</v>
      </c>
      <c r="C105" s="98">
        <f t="shared" si="2"/>
        <v>1014</v>
      </c>
      <c r="D105" s="10">
        <f t="shared" si="3"/>
        <v>-259.584</v>
      </c>
    </row>
    <row r="106" spans="1:4" x14ac:dyDescent="0.25">
      <c r="A106" s="33" t="s">
        <v>279</v>
      </c>
      <c r="B106" s="34">
        <v>-36276</v>
      </c>
      <c r="C106" s="98">
        <f t="shared" si="2"/>
        <v>1014</v>
      </c>
      <c r="D106" s="10">
        <f t="shared" si="3"/>
        <v>-18391.932000000001</v>
      </c>
    </row>
    <row r="107" spans="1:4" x14ac:dyDescent="0.25">
      <c r="A107" s="33" t="s">
        <v>188</v>
      </c>
      <c r="B107" s="34">
        <v>-302261</v>
      </c>
      <c r="C107" s="98">
        <f t="shared" si="2"/>
        <v>1014</v>
      </c>
      <c r="D107" s="10">
        <f t="shared" si="3"/>
        <v>-153246.32699999999</v>
      </c>
    </row>
    <row r="108" spans="1:4" x14ac:dyDescent="0.25">
      <c r="A108" s="33" t="s">
        <v>281</v>
      </c>
      <c r="B108" s="34">
        <v>-20682</v>
      </c>
      <c r="C108" s="98">
        <f t="shared" si="2"/>
        <v>1014</v>
      </c>
      <c r="D108" s="10">
        <f t="shared" si="3"/>
        <v>-10485.773999999999</v>
      </c>
    </row>
    <row r="109" spans="1:4" x14ac:dyDescent="0.25">
      <c r="A109" s="33" t="s">
        <v>284</v>
      </c>
      <c r="B109" s="34">
        <v>-311</v>
      </c>
      <c r="C109" s="98">
        <f t="shared" si="2"/>
        <v>1014</v>
      </c>
      <c r="D109" s="10">
        <f t="shared" si="3"/>
        <v>-157.67699999999999</v>
      </c>
    </row>
    <row r="110" spans="1:4" x14ac:dyDescent="0.25">
      <c r="A110" s="33" t="s">
        <v>286</v>
      </c>
      <c r="B110" s="34">
        <v>-221200</v>
      </c>
      <c r="C110" s="98">
        <f t="shared" si="2"/>
        <v>1014</v>
      </c>
      <c r="D110" s="10">
        <f t="shared" si="3"/>
        <v>-112148.4</v>
      </c>
    </row>
    <row r="111" spans="1:4" x14ac:dyDescent="0.25">
      <c r="A111" s="33"/>
      <c r="B111" s="34"/>
      <c r="C111" s="98"/>
      <c r="D111" s="10"/>
    </row>
    <row r="112" spans="1:4" ht="15.75" thickBot="1" x14ac:dyDescent="0.3">
      <c r="A112" s="36"/>
      <c r="B112" s="37"/>
      <c r="C112" s="15"/>
      <c r="D112" s="16"/>
    </row>
    <row r="113" spans="1:4" ht="16.5" thickTop="1" thickBot="1" x14ac:dyDescent="0.3">
      <c r="A113" s="13"/>
      <c r="B113" s="96">
        <f>SUM(B4:B112)</f>
        <v>6189748.1970000006</v>
      </c>
      <c r="C113" s="14"/>
      <c r="D113" s="97">
        <f>SUM(D4:D112)</f>
        <v>3138202.3358790041</v>
      </c>
    </row>
  </sheetData>
  <hyperlinks>
    <hyperlink ref="D1" r:id="rId1"/>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2013</v>
      </c>
      <c r="D4" s="72" t="s">
        <v>40</v>
      </c>
      <c r="E4" s="68"/>
    </row>
    <row r="5" spans="1:7" thickBot="1" x14ac:dyDescent="0.35">
      <c r="A5" s="238" t="s">
        <v>21</v>
      </c>
      <c r="B5" s="239"/>
      <c r="C5" s="78">
        <f>+F10*'Census Stats'!$L$38</f>
        <v>2383976.003935121</v>
      </c>
      <c r="D5" s="66">
        <f>+D13/C5</f>
        <v>8.8172598907468096</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10718566</v>
      </c>
      <c r="E10" s="19">
        <f>+D10/D13</f>
        <v>0.50991896531972958</v>
      </c>
      <c r="F10" s="42">
        <v>956782</v>
      </c>
      <c r="G10" s="58">
        <f>+D10/F10</f>
        <v>11.202725385720049</v>
      </c>
    </row>
    <row r="11" spans="1:7" ht="14.45" x14ac:dyDescent="0.3">
      <c r="A11" s="235" t="s">
        <v>17</v>
      </c>
      <c r="B11" s="236"/>
      <c r="C11" s="237"/>
      <c r="D11" s="70">
        <f>8995025+91103</f>
        <v>9086128</v>
      </c>
      <c r="E11" s="19">
        <f>+D11/D13</f>
        <v>0.43225828795779436</v>
      </c>
      <c r="F11" s="34">
        <f>119833+5266</f>
        <v>125099</v>
      </c>
      <c r="G11" s="58">
        <f>+D11/F11</f>
        <v>72.631499852117116</v>
      </c>
    </row>
    <row r="12" spans="1:7" ht="14.45" x14ac:dyDescent="0.3">
      <c r="A12" s="235" t="s">
        <v>18</v>
      </c>
      <c r="B12" s="236"/>
      <c r="C12" s="237"/>
      <c r="D12" s="70">
        <v>1215442</v>
      </c>
      <c r="E12" s="19">
        <f>+D12/D13</f>
        <v>5.7822746722476011E-2</v>
      </c>
      <c r="F12" s="6"/>
      <c r="G12" s="47"/>
    </row>
    <row r="13" spans="1:7" thickBot="1" x14ac:dyDescent="0.35">
      <c r="A13" s="48"/>
      <c r="B13" s="240" t="s">
        <v>13</v>
      </c>
      <c r="C13" s="239"/>
      <c r="D13" s="71">
        <f>SUM(D10:D12)</f>
        <v>21020136</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'2013 Known'!B66</f>
        <v>16925900.518999994</v>
      </c>
      <c r="E18" s="19">
        <f>+D18/(D18+D19)</f>
        <v>0.74226204578283284</v>
      </c>
      <c r="F18" s="10">
        <f>'2013 Known'!D66</f>
        <v>8324309.3144315109</v>
      </c>
      <c r="G18" s="47"/>
    </row>
    <row r="19" spans="1:8" ht="18" x14ac:dyDescent="0.35">
      <c r="A19" s="235" t="s">
        <v>34</v>
      </c>
      <c r="B19" s="236"/>
      <c r="C19" s="237"/>
      <c r="D19" s="59">
        <f>'2013 Unknown'!B117</f>
        <v>5877232.977</v>
      </c>
      <c r="E19" s="60">
        <f>+D19/(D18+D19)</f>
        <v>0.25773795421716728</v>
      </c>
      <c r="F19" s="74">
        <f>'2013 Unknown'!D117</f>
        <v>3326881.3430049806</v>
      </c>
      <c r="G19" s="76" t="s">
        <v>39</v>
      </c>
    </row>
    <row r="20" spans="1:8" ht="18.75" thickBot="1" x14ac:dyDescent="0.4">
      <c r="A20" s="48"/>
      <c r="B20" s="50"/>
      <c r="C20" s="50"/>
      <c r="D20" s="73">
        <f>+C4</f>
        <v>2013</v>
      </c>
      <c r="E20" s="55" t="s">
        <v>4</v>
      </c>
      <c r="F20" s="75">
        <f>SUM(F18:F19)</f>
        <v>11651190.657436492</v>
      </c>
      <c r="G20" s="77">
        <f>+F20/G22</f>
        <v>1.6773802627554961</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workbookViewId="0">
      <selection activeCell="F2" sqref="F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2013</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57768.31</v>
      </c>
      <c r="C4" s="34">
        <v>0</v>
      </c>
      <c r="D4" s="10">
        <v>0</v>
      </c>
    </row>
    <row r="5" spans="1:5" x14ac:dyDescent="0.25">
      <c r="A5" s="33" t="s">
        <v>294</v>
      </c>
      <c r="B5" s="34">
        <v>350427.55599999998</v>
      </c>
      <c r="C5" s="34">
        <v>0</v>
      </c>
      <c r="D5" s="10">
        <v>0</v>
      </c>
    </row>
    <row r="6" spans="1:5" x14ac:dyDescent="0.25">
      <c r="A6" s="33" t="s">
        <v>295</v>
      </c>
      <c r="B6" s="34">
        <v>-173.11</v>
      </c>
      <c r="C6" s="34">
        <v>0</v>
      </c>
      <c r="D6" s="10">
        <v>0</v>
      </c>
    </row>
    <row r="7" spans="1:5" x14ac:dyDescent="0.25">
      <c r="A7" s="33" t="s">
        <v>296</v>
      </c>
      <c r="B7" s="34">
        <v>76306.592999999993</v>
      </c>
      <c r="C7" s="34">
        <v>0</v>
      </c>
      <c r="D7" s="10">
        <v>0</v>
      </c>
    </row>
    <row r="8" spans="1:5" x14ac:dyDescent="0.25">
      <c r="A8" s="33" t="s">
        <v>297</v>
      </c>
      <c r="B8" s="34">
        <v>353239.95299999998</v>
      </c>
      <c r="C8" s="34">
        <v>0</v>
      </c>
      <c r="D8" s="10">
        <v>0</v>
      </c>
    </row>
    <row r="9" spans="1:5" x14ac:dyDescent="0.25">
      <c r="A9" s="33" t="s">
        <v>312</v>
      </c>
      <c r="B9" s="34">
        <v>2322485</v>
      </c>
      <c r="C9" s="34">
        <v>2417.1951474274647</v>
      </c>
      <c r="D9" s="10">
        <v>2806949.7359865373</v>
      </c>
    </row>
    <row r="10" spans="1:5" x14ac:dyDescent="0.25">
      <c r="A10" s="33" t="s">
        <v>313</v>
      </c>
      <c r="B10" s="34">
        <v>2023723</v>
      </c>
      <c r="C10" s="34">
        <v>2310.6941211344692</v>
      </c>
      <c r="D10" s="10">
        <v>2338102.4194523059</v>
      </c>
    </row>
    <row r="11" spans="1:5" x14ac:dyDescent="0.25">
      <c r="A11" s="33" t="s">
        <v>299</v>
      </c>
      <c r="B11" s="34">
        <v>268267.32500000001</v>
      </c>
      <c r="C11" s="34">
        <v>1090.0119485596624</v>
      </c>
      <c r="D11" s="10">
        <v>146207.29482906914</v>
      </c>
    </row>
    <row r="12" spans="1:5" x14ac:dyDescent="0.25">
      <c r="A12" s="33" t="s">
        <v>300</v>
      </c>
      <c r="B12" s="34">
        <v>869393.88599999994</v>
      </c>
      <c r="C12" s="34">
        <v>1001.4112354217872</v>
      </c>
      <c r="D12" s="10">
        <v>435310.40272370417</v>
      </c>
    </row>
    <row r="13" spans="1:5" x14ac:dyDescent="0.25">
      <c r="A13" s="33" t="s">
        <v>301</v>
      </c>
      <c r="B13" s="34">
        <v>416396.53899999999</v>
      </c>
      <c r="C13" s="34">
        <v>1735.1748954894076</v>
      </c>
      <c r="D13" s="10">
        <v>361260.41052073799</v>
      </c>
    </row>
    <row r="14" spans="1:5" x14ac:dyDescent="0.25">
      <c r="A14" s="33" t="s">
        <v>305</v>
      </c>
      <c r="B14" s="34">
        <v>1469093.6269999999</v>
      </c>
      <c r="C14" s="34">
        <v>816.81954748930616</v>
      </c>
      <c r="D14" s="10">
        <v>599992.19581278169</v>
      </c>
    </row>
    <row r="15" spans="1:5" x14ac:dyDescent="0.25">
      <c r="A15" s="33" t="s">
        <v>308</v>
      </c>
      <c r="B15" s="34">
        <v>1614347.7590000001</v>
      </c>
      <c r="C15" s="34">
        <v>864.2324486412848</v>
      </c>
      <c r="D15" s="10">
        <v>697585.85835957038</v>
      </c>
    </row>
    <row r="16" spans="1:5" x14ac:dyDescent="0.25">
      <c r="A16" s="33" t="s">
        <v>309</v>
      </c>
      <c r="B16" s="34">
        <v>536584.62</v>
      </c>
      <c r="C16" s="34">
        <v>1027.0424170770877</v>
      </c>
      <c r="D16" s="10">
        <v>275547.5825455953</v>
      </c>
    </row>
    <row r="17" spans="1:4" x14ac:dyDescent="0.25">
      <c r="A17" s="33" t="s">
        <v>298</v>
      </c>
      <c r="B17" s="34">
        <v>48.722000000000001</v>
      </c>
      <c r="C17" s="34">
        <v>2629.0976266346393</v>
      </c>
      <c r="D17" s="10">
        <v>64.047447282446456</v>
      </c>
    </row>
    <row r="18" spans="1:4" x14ac:dyDescent="0.25">
      <c r="A18" s="33" t="s">
        <v>302</v>
      </c>
      <c r="B18" s="34">
        <v>112470.95</v>
      </c>
      <c r="C18" s="34">
        <v>1470.4134074018527</v>
      </c>
      <c r="D18" s="10">
        <v>82689.396411611713</v>
      </c>
    </row>
    <row r="19" spans="1:4" x14ac:dyDescent="0.25">
      <c r="A19" s="33" t="s">
        <v>303</v>
      </c>
      <c r="B19" s="34">
        <v>12943.957</v>
      </c>
      <c r="C19" s="34">
        <v>1252.1295261118873</v>
      </c>
      <c r="D19" s="10">
        <v>8103.7553722113244</v>
      </c>
    </row>
    <row r="20" spans="1:4" x14ac:dyDescent="0.25">
      <c r="A20" s="33" t="s">
        <v>304</v>
      </c>
      <c r="B20" s="34">
        <v>27905.3</v>
      </c>
      <c r="C20" s="34">
        <v>2727.9687020896617</v>
      </c>
      <c r="D20" s="10">
        <v>38062.392511211321</v>
      </c>
    </row>
    <row r="21" spans="1:4" x14ac:dyDescent="0.25">
      <c r="A21" s="33" t="s">
        <v>306</v>
      </c>
      <c r="B21" s="34">
        <v>406599.78</v>
      </c>
      <c r="C21" s="34">
        <v>0</v>
      </c>
      <c r="D21" s="10">
        <v>0</v>
      </c>
    </row>
    <row r="22" spans="1:4" x14ac:dyDescent="0.25">
      <c r="A22" s="33" t="s">
        <v>307</v>
      </c>
      <c r="B22" s="34">
        <v>816895.07</v>
      </c>
      <c r="C22" s="34">
        <v>0</v>
      </c>
      <c r="D22" s="10">
        <v>0</v>
      </c>
    </row>
    <row r="23" spans="1:4" x14ac:dyDescent="0.25">
      <c r="A23" s="33" t="s">
        <v>310</v>
      </c>
      <c r="B23" s="34">
        <v>27795.7</v>
      </c>
      <c r="C23" s="34">
        <v>2273.2985103724336</v>
      </c>
      <c r="D23" s="10">
        <v>31593.961702379525</v>
      </c>
    </row>
    <row r="24" spans="1:4" x14ac:dyDescent="0.25">
      <c r="A24" s="33" t="s">
        <v>311</v>
      </c>
      <c r="B24" s="34">
        <v>659105.34199999995</v>
      </c>
      <c r="C24" s="34">
        <v>0</v>
      </c>
      <c r="D24" s="10">
        <v>0</v>
      </c>
    </row>
    <row r="25" spans="1:4" x14ac:dyDescent="0.25">
      <c r="A25" s="33" t="s">
        <v>314</v>
      </c>
      <c r="B25" s="34">
        <v>202.654</v>
      </c>
      <c r="C25" s="34">
        <v>0</v>
      </c>
      <c r="D25" s="10">
        <v>0</v>
      </c>
    </row>
    <row r="26" spans="1:4" x14ac:dyDescent="0.25">
      <c r="A26" s="33" t="s">
        <v>195</v>
      </c>
      <c r="B26" s="34">
        <v>216075</v>
      </c>
      <c r="C26" s="34">
        <v>1132.1250533111745</v>
      </c>
      <c r="D26" s="10">
        <v>122311.96044710602</v>
      </c>
    </row>
    <row r="27" spans="1:4" x14ac:dyDescent="0.25">
      <c r="A27" s="33" t="s">
        <v>315</v>
      </c>
      <c r="B27" s="34">
        <v>21366.07</v>
      </c>
      <c r="C27" s="34">
        <v>1132.1250533111745</v>
      </c>
      <c r="D27" s="10">
        <v>12094.531568900144</v>
      </c>
    </row>
    <row r="28" spans="1:4" x14ac:dyDescent="0.25">
      <c r="A28" s="33" t="s">
        <v>316</v>
      </c>
      <c r="B28" s="34">
        <v>0.89400000000000002</v>
      </c>
      <c r="C28" s="34">
        <v>0</v>
      </c>
      <c r="D28" s="10">
        <v>0</v>
      </c>
    </row>
    <row r="29" spans="1:4" x14ac:dyDescent="0.25">
      <c r="A29" s="33" t="s">
        <v>317</v>
      </c>
      <c r="B29" s="34">
        <v>12819.279</v>
      </c>
      <c r="C29" s="34">
        <v>0</v>
      </c>
      <c r="D29" s="10">
        <v>0</v>
      </c>
    </row>
    <row r="30" spans="1:4" x14ac:dyDescent="0.25">
      <c r="A30" s="33" t="s">
        <v>200</v>
      </c>
      <c r="B30" s="34">
        <v>-204155</v>
      </c>
      <c r="C30" s="34">
        <v>0</v>
      </c>
      <c r="D30" s="10">
        <v>0</v>
      </c>
    </row>
    <row r="31" spans="1:4" x14ac:dyDescent="0.25">
      <c r="A31" s="33" t="s">
        <v>175</v>
      </c>
      <c r="B31" s="34">
        <v>7000</v>
      </c>
      <c r="C31" s="34">
        <v>0</v>
      </c>
      <c r="D31" s="10">
        <v>0</v>
      </c>
    </row>
    <row r="32" spans="1:4" x14ac:dyDescent="0.25">
      <c r="A32" s="33" t="s">
        <v>318</v>
      </c>
      <c r="B32" s="34">
        <v>374969</v>
      </c>
      <c r="C32" s="34">
        <v>1132.1250533111745</v>
      </c>
      <c r="D32" s="10">
        <v>212255.89955751889</v>
      </c>
    </row>
    <row r="33" spans="1:4" x14ac:dyDescent="0.25">
      <c r="A33" s="33" t="s">
        <v>319</v>
      </c>
      <c r="B33" s="34">
        <v>28.17</v>
      </c>
      <c r="C33" s="34">
        <v>0</v>
      </c>
      <c r="D33" s="10">
        <v>0</v>
      </c>
    </row>
    <row r="34" spans="1:4" x14ac:dyDescent="0.25">
      <c r="A34" s="33" t="s">
        <v>320</v>
      </c>
      <c r="B34" s="34">
        <v>2436603</v>
      </c>
      <c r="C34" s="34">
        <v>0</v>
      </c>
      <c r="D34" s="10">
        <v>0</v>
      </c>
    </row>
    <row r="35" spans="1:4" x14ac:dyDescent="0.25">
      <c r="A35" s="33" t="s">
        <v>321</v>
      </c>
      <c r="B35" s="34">
        <v>-43063</v>
      </c>
      <c r="C35" s="34">
        <v>0</v>
      </c>
      <c r="D35" s="10">
        <v>0</v>
      </c>
    </row>
    <row r="36" spans="1:4" x14ac:dyDescent="0.25">
      <c r="A36" s="35" t="s">
        <v>322</v>
      </c>
      <c r="B36" s="34">
        <v>-78804</v>
      </c>
      <c r="C36" s="34">
        <v>0</v>
      </c>
      <c r="D36" s="10">
        <v>0</v>
      </c>
    </row>
    <row r="37" spans="1:4" x14ac:dyDescent="0.25">
      <c r="A37" s="35" t="s">
        <v>323</v>
      </c>
      <c r="B37" s="34">
        <v>1064303</v>
      </c>
      <c r="C37" s="34">
        <v>0</v>
      </c>
      <c r="D37" s="10">
        <v>0</v>
      </c>
    </row>
    <row r="38" spans="1:4" x14ac:dyDescent="0.25">
      <c r="A38" s="35" t="s">
        <v>324</v>
      </c>
      <c r="B38" s="34">
        <v>3924.8539999999998</v>
      </c>
      <c r="C38" s="34">
        <v>0</v>
      </c>
      <c r="D38" s="10">
        <v>0</v>
      </c>
    </row>
    <row r="39" spans="1:4" x14ac:dyDescent="0.25">
      <c r="A39" s="35" t="s">
        <v>325</v>
      </c>
      <c r="B39" s="34">
        <v>4128.7299999999996</v>
      </c>
      <c r="C39" s="34">
        <v>0</v>
      </c>
      <c r="D39" s="10">
        <v>0</v>
      </c>
    </row>
    <row r="40" spans="1:4" x14ac:dyDescent="0.25">
      <c r="A40" s="35" t="s">
        <v>326</v>
      </c>
      <c r="B40" s="34">
        <v>5448.1419999999998</v>
      </c>
      <c r="C40" s="34">
        <v>0</v>
      </c>
      <c r="D40" s="10">
        <v>0</v>
      </c>
    </row>
    <row r="41" spans="1:4" x14ac:dyDescent="0.25">
      <c r="A41" s="35" t="s">
        <v>328</v>
      </c>
      <c r="B41" s="34">
        <v>72986</v>
      </c>
      <c r="C41" s="34">
        <v>0</v>
      </c>
      <c r="D41" s="10">
        <v>0</v>
      </c>
    </row>
    <row r="42" spans="1:4" x14ac:dyDescent="0.25">
      <c r="A42" s="35" t="s">
        <v>330</v>
      </c>
      <c r="B42" s="34">
        <v>59.14</v>
      </c>
      <c r="C42" s="34">
        <v>0</v>
      </c>
      <c r="D42" s="10">
        <v>0</v>
      </c>
    </row>
    <row r="43" spans="1:4" x14ac:dyDescent="0.25">
      <c r="A43" s="35" t="s">
        <v>236</v>
      </c>
      <c r="B43" s="34">
        <v>161925</v>
      </c>
      <c r="C43" s="34">
        <v>1132.1250533111745</v>
      </c>
      <c r="D43" s="10">
        <v>91659.674628705965</v>
      </c>
    </row>
    <row r="44" spans="1:4" x14ac:dyDescent="0.25">
      <c r="A44" s="35" t="s">
        <v>331</v>
      </c>
      <c r="B44" s="34">
        <v>8450</v>
      </c>
      <c r="C44" s="34">
        <v>807.41888800286392</v>
      </c>
      <c r="D44" s="10">
        <v>3411.3448018121003</v>
      </c>
    </row>
    <row r="45" spans="1:4" x14ac:dyDescent="0.25">
      <c r="A45" s="35" t="s">
        <v>332</v>
      </c>
      <c r="B45" s="34">
        <v>134050</v>
      </c>
      <c r="C45" s="34">
        <v>0</v>
      </c>
      <c r="D45" s="10">
        <v>0</v>
      </c>
    </row>
    <row r="46" spans="1:4" x14ac:dyDescent="0.25">
      <c r="A46" s="35" t="s">
        <v>333</v>
      </c>
      <c r="B46" s="34">
        <v>127.961</v>
      </c>
      <c r="C46" s="34">
        <v>0</v>
      </c>
      <c r="D46" s="10">
        <v>0</v>
      </c>
    </row>
    <row r="47" spans="1:4" x14ac:dyDescent="0.25">
      <c r="A47" s="35" t="s">
        <v>335</v>
      </c>
      <c r="B47" s="34">
        <v>3381</v>
      </c>
      <c r="C47" s="34">
        <v>0</v>
      </c>
      <c r="D47" s="10">
        <v>0</v>
      </c>
    </row>
    <row r="48" spans="1:4" x14ac:dyDescent="0.25">
      <c r="A48" s="35" t="s">
        <v>336</v>
      </c>
      <c r="B48" s="34">
        <v>5794.9889999999996</v>
      </c>
      <c r="C48" s="34">
        <v>0</v>
      </c>
      <c r="D48" s="10">
        <v>0</v>
      </c>
    </row>
    <row r="49" spans="1:4" x14ac:dyDescent="0.25">
      <c r="A49" s="35" t="s">
        <v>185</v>
      </c>
      <c r="B49" s="34">
        <v>107950</v>
      </c>
      <c r="C49" s="34">
        <v>1132.1250533111745</v>
      </c>
      <c r="D49" s="10">
        <v>61106.449752470646</v>
      </c>
    </row>
    <row r="50" spans="1:4" x14ac:dyDescent="0.25">
      <c r="A50" s="35" t="s">
        <v>337</v>
      </c>
      <c r="B50" s="34">
        <v>6742.4620000000004</v>
      </c>
      <c r="C50" s="34">
        <v>0</v>
      </c>
      <c r="D50" s="10">
        <v>0</v>
      </c>
    </row>
    <row r="51" spans="1:4" x14ac:dyDescent="0.25">
      <c r="A51" s="35" t="s">
        <v>338</v>
      </c>
      <c r="B51" s="34">
        <v>147.297</v>
      </c>
      <c r="C51" s="34">
        <v>0</v>
      </c>
      <c r="D51" s="10">
        <v>0</v>
      </c>
    </row>
    <row r="52" spans="1:4" x14ac:dyDescent="0.25">
      <c r="A52" s="35" t="s">
        <v>340</v>
      </c>
      <c r="B52" s="34">
        <v>10571.721</v>
      </c>
      <c r="C52" s="34">
        <v>0</v>
      </c>
      <c r="D52" s="10">
        <v>0</v>
      </c>
    </row>
    <row r="53" spans="1:4" x14ac:dyDescent="0.25">
      <c r="A53" s="35" t="s">
        <v>342</v>
      </c>
      <c r="B53" s="34">
        <v>2314.8589999999999</v>
      </c>
      <c r="C53" s="34">
        <v>0</v>
      </c>
      <c r="D53" s="10">
        <v>0</v>
      </c>
    </row>
    <row r="54" spans="1:4" x14ac:dyDescent="0.25">
      <c r="A54" s="35" t="s">
        <v>343</v>
      </c>
      <c r="B54" s="34">
        <v>2969.8710000000001</v>
      </c>
      <c r="C54" s="34">
        <v>0</v>
      </c>
      <c r="D54" s="10">
        <v>0</v>
      </c>
    </row>
    <row r="55" spans="1:4" x14ac:dyDescent="0.25">
      <c r="A55" s="35" t="s">
        <v>316</v>
      </c>
      <c r="B55" s="34">
        <v>27.050999999999998</v>
      </c>
      <c r="C55" s="34">
        <v>0</v>
      </c>
      <c r="D55" s="10">
        <v>0</v>
      </c>
    </row>
    <row r="56" spans="1:4" x14ac:dyDescent="0.25">
      <c r="A56" s="35" t="s">
        <v>345</v>
      </c>
      <c r="B56" s="34">
        <v>1564.5119999999999</v>
      </c>
      <c r="C56" s="34">
        <v>0</v>
      </c>
      <c r="D56" s="10">
        <v>0</v>
      </c>
    </row>
    <row r="57" spans="1:4" x14ac:dyDescent="0.25">
      <c r="A57" s="35" t="s">
        <v>348</v>
      </c>
      <c r="B57" s="34">
        <v>814.8</v>
      </c>
      <c r="C57" s="34">
        <v>0</v>
      </c>
      <c r="D57" s="10">
        <v>0</v>
      </c>
    </row>
    <row r="58" spans="1:4" x14ac:dyDescent="0.25">
      <c r="A58" s="35" t="s">
        <v>349</v>
      </c>
      <c r="B58" s="34">
        <v>40135.911999999997</v>
      </c>
      <c r="C58" s="34">
        <v>0</v>
      </c>
      <c r="D58" s="10">
        <v>0</v>
      </c>
    </row>
    <row r="59" spans="1:4" x14ac:dyDescent="0.25">
      <c r="A59" s="35" t="s">
        <v>350</v>
      </c>
      <c r="B59" s="34">
        <v>288.08</v>
      </c>
      <c r="C59" s="34">
        <v>0</v>
      </c>
      <c r="D59" s="10">
        <v>0</v>
      </c>
    </row>
    <row r="60" spans="1:4" x14ac:dyDescent="0.25">
      <c r="A60" s="35" t="s">
        <v>352</v>
      </c>
      <c r="B60" s="34">
        <v>23771.706999999999</v>
      </c>
      <c r="C60" s="34">
        <v>0</v>
      </c>
      <c r="D60" s="10">
        <v>0</v>
      </c>
    </row>
    <row r="61" spans="1:4" x14ac:dyDescent="0.25">
      <c r="A61" s="35" t="s">
        <v>356</v>
      </c>
      <c r="B61" s="34">
        <v>1170.0820000000001</v>
      </c>
      <c r="C61" s="34">
        <v>0</v>
      </c>
      <c r="D61" s="10">
        <v>0</v>
      </c>
    </row>
    <row r="62" spans="1:4" x14ac:dyDescent="0.25">
      <c r="A62" s="35" t="s">
        <v>357</v>
      </c>
      <c r="B62" s="34">
        <v>83478.721999999994</v>
      </c>
      <c r="C62" s="34">
        <v>0</v>
      </c>
      <c r="D62" s="10">
        <v>0</v>
      </c>
    </row>
    <row r="63" spans="1:4" x14ac:dyDescent="0.25">
      <c r="A63" s="35" t="s">
        <v>358</v>
      </c>
      <c r="B63" s="34">
        <v>14706.681</v>
      </c>
      <c r="C63" s="34">
        <v>0</v>
      </c>
      <c r="D63" s="10">
        <v>0</v>
      </c>
    </row>
    <row r="64" spans="1:4" x14ac:dyDescent="0.25">
      <c r="A64" s="35"/>
      <c r="B64" s="34"/>
      <c r="C64" s="34"/>
      <c r="D64" s="10"/>
    </row>
    <row r="65" spans="1:4" ht="15.75" thickBot="1" x14ac:dyDescent="0.3">
      <c r="A65" s="36"/>
      <c r="B65" s="37"/>
      <c r="C65" s="37"/>
      <c r="D65" s="16"/>
    </row>
    <row r="66" spans="1:4" ht="16.5" thickTop="1" thickBot="1" x14ac:dyDescent="0.3">
      <c r="A66" s="1"/>
      <c r="B66" s="17">
        <f>SUM(B4:B65)</f>
        <v>16925900.518999994</v>
      </c>
      <c r="D66" s="17">
        <f>SUM(D4:D65)</f>
        <v>8324309.3144315109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2013</v>
      </c>
      <c r="D1" s="8" t="s">
        <v>2</v>
      </c>
      <c r="H1" s="130">
        <v>1132.1250513717666</v>
      </c>
      <c r="I1" t="s">
        <v>6</v>
      </c>
    </row>
    <row r="2" spans="1:9" ht="18.75" x14ac:dyDescent="0.3">
      <c r="A2" s="3"/>
      <c r="B2" s="11" t="s">
        <v>31</v>
      </c>
      <c r="C2" s="11" t="s">
        <v>1</v>
      </c>
      <c r="D2" s="11" t="s">
        <v>5</v>
      </c>
      <c r="E2" s="4"/>
      <c r="F2" s="40" t="s">
        <v>9</v>
      </c>
      <c r="G2" s="38">
        <v>2013</v>
      </c>
      <c r="H2" s="41"/>
    </row>
    <row r="3" spans="1:9" ht="19.5" x14ac:dyDescent="0.35">
      <c r="A3" s="5" t="s">
        <v>0</v>
      </c>
      <c r="B3" s="12"/>
      <c r="C3" s="12" t="s">
        <v>7</v>
      </c>
      <c r="D3" s="12" t="s">
        <v>8</v>
      </c>
      <c r="E3" s="7"/>
    </row>
    <row r="4" spans="1:9" x14ac:dyDescent="0.25">
      <c r="A4" s="33" t="s">
        <v>194</v>
      </c>
      <c r="B4" s="34">
        <v>231202.04</v>
      </c>
      <c r="C4" s="98">
        <f>IF(B4&lt;&gt;0,$H$1,"")</f>
        <v>1132.1250513717666</v>
      </c>
      <c r="D4" s="10">
        <f>(+B4*C4)/2000</f>
        <v>130874.81070612863</v>
      </c>
    </row>
    <row r="5" spans="1:9" x14ac:dyDescent="0.25">
      <c r="A5" s="33" t="s">
        <v>198</v>
      </c>
      <c r="B5" s="34">
        <v>4600</v>
      </c>
      <c r="C5" s="98">
        <f t="shared" ref="C5:C68" si="0">IF(B5&lt;&gt;0,$H$1,"")</f>
        <v>1132.1250513717666</v>
      </c>
      <c r="D5" s="10">
        <f t="shared" ref="D5:D68" si="1">(+B5*C5)/2000</f>
        <v>2603.8876181550631</v>
      </c>
    </row>
    <row r="6" spans="1:9" x14ac:dyDescent="0.25">
      <c r="A6" s="33" t="s">
        <v>200</v>
      </c>
      <c r="B6" s="34">
        <v>-3157200</v>
      </c>
      <c r="C6" s="98">
        <f t="shared" si="0"/>
        <v>1132.1250513717666</v>
      </c>
      <c r="D6" s="10">
        <f t="shared" si="1"/>
        <v>-1787172.606095471</v>
      </c>
    </row>
    <row r="7" spans="1:9" x14ac:dyDescent="0.25">
      <c r="A7" s="33" t="s">
        <v>201</v>
      </c>
      <c r="B7" s="34">
        <v>1103049</v>
      </c>
      <c r="C7" s="98">
        <f t="shared" si="0"/>
        <v>1132.1250513717666</v>
      </c>
      <c r="D7" s="10">
        <f t="shared" si="1"/>
        <v>624394.70289528789</v>
      </c>
    </row>
    <row r="8" spans="1:9" x14ac:dyDescent="0.25">
      <c r="A8" s="33" t="s">
        <v>175</v>
      </c>
      <c r="B8" s="34">
        <v>417735</v>
      </c>
      <c r="C8" s="98">
        <f t="shared" si="0"/>
        <v>1132.1250513717666</v>
      </c>
      <c r="D8" s="10">
        <f t="shared" si="1"/>
        <v>236464.12916739247</v>
      </c>
    </row>
    <row r="9" spans="1:9" x14ac:dyDescent="0.25">
      <c r="A9" s="33" t="s">
        <v>203</v>
      </c>
      <c r="B9" s="34">
        <v>800</v>
      </c>
      <c r="C9" s="98">
        <f t="shared" si="0"/>
        <v>1132.1250513717666</v>
      </c>
      <c r="D9" s="10">
        <f t="shared" si="1"/>
        <v>452.85002054870665</v>
      </c>
    </row>
    <row r="10" spans="1:9" x14ac:dyDescent="0.25">
      <c r="A10" s="33" t="s">
        <v>204</v>
      </c>
      <c r="B10" s="34">
        <v>200</v>
      </c>
      <c r="C10" s="98">
        <f t="shared" si="0"/>
        <v>1132.1250513717666</v>
      </c>
      <c r="D10" s="10">
        <f t="shared" si="1"/>
        <v>113.21250513717666</v>
      </c>
    </row>
    <row r="11" spans="1:9" x14ac:dyDescent="0.25">
      <c r="A11" s="33" t="s">
        <v>206</v>
      </c>
      <c r="B11" s="34">
        <v>34629</v>
      </c>
      <c r="C11" s="98">
        <f t="shared" si="0"/>
        <v>1132.1250513717666</v>
      </c>
      <c r="D11" s="10">
        <f t="shared" si="1"/>
        <v>19602.179201976451</v>
      </c>
    </row>
    <row r="12" spans="1:9" x14ac:dyDescent="0.25">
      <c r="A12" s="33" t="s">
        <v>207</v>
      </c>
      <c r="B12" s="34">
        <v>82375</v>
      </c>
      <c r="C12" s="98">
        <f t="shared" si="0"/>
        <v>1132.1250513717666</v>
      </c>
      <c r="D12" s="10">
        <f t="shared" si="1"/>
        <v>46629.400553374639</v>
      </c>
    </row>
    <row r="13" spans="1:9" x14ac:dyDescent="0.25">
      <c r="A13" s="33" t="s">
        <v>176</v>
      </c>
      <c r="B13" s="34">
        <v>475057</v>
      </c>
      <c r="C13" s="98">
        <f t="shared" si="0"/>
        <v>1132.1250513717666</v>
      </c>
      <c r="D13" s="10">
        <f t="shared" si="1"/>
        <v>268911.96526475862</v>
      </c>
    </row>
    <row r="14" spans="1:9" x14ac:dyDescent="0.25">
      <c r="A14" s="33" t="s">
        <v>208</v>
      </c>
      <c r="B14" s="34">
        <v>15616</v>
      </c>
      <c r="C14" s="98">
        <f t="shared" si="0"/>
        <v>1132.1250513717666</v>
      </c>
      <c r="D14" s="10">
        <f t="shared" si="1"/>
        <v>8839.6324011107536</v>
      </c>
    </row>
    <row r="15" spans="1:9" x14ac:dyDescent="0.25">
      <c r="A15" s="33" t="s">
        <v>189</v>
      </c>
      <c r="B15" s="34">
        <v>209900</v>
      </c>
      <c r="C15" s="98">
        <f t="shared" si="0"/>
        <v>1132.1250513717666</v>
      </c>
      <c r="D15" s="10">
        <f t="shared" si="1"/>
        <v>118816.5241414669</v>
      </c>
    </row>
    <row r="16" spans="1:9" x14ac:dyDescent="0.25">
      <c r="A16" s="33" t="s">
        <v>212</v>
      </c>
      <c r="B16" s="34">
        <v>16000</v>
      </c>
      <c r="C16" s="98">
        <f t="shared" si="0"/>
        <v>1132.1250513717666</v>
      </c>
      <c r="D16" s="10">
        <f t="shared" si="1"/>
        <v>9057.000410974133</v>
      </c>
    </row>
    <row r="17" spans="1:4" x14ac:dyDescent="0.25">
      <c r="A17" s="33" t="s">
        <v>213</v>
      </c>
      <c r="B17" s="34">
        <v>2268</v>
      </c>
      <c r="C17" s="98">
        <f t="shared" si="0"/>
        <v>1132.1250513717666</v>
      </c>
      <c r="D17" s="10">
        <f t="shared" si="1"/>
        <v>1283.8298082555832</v>
      </c>
    </row>
    <row r="18" spans="1:4" x14ac:dyDescent="0.25">
      <c r="A18" s="33" t="s">
        <v>177</v>
      </c>
      <c r="B18" s="34">
        <v>12317</v>
      </c>
      <c r="C18" s="98">
        <f t="shared" si="0"/>
        <v>1132.1250513717666</v>
      </c>
      <c r="D18" s="10">
        <f t="shared" si="1"/>
        <v>6972.1921288730255</v>
      </c>
    </row>
    <row r="19" spans="1:4" x14ac:dyDescent="0.25">
      <c r="A19" s="33" t="s">
        <v>215</v>
      </c>
      <c r="B19" s="34">
        <v>5815</v>
      </c>
      <c r="C19" s="98">
        <f t="shared" si="0"/>
        <v>1132.1250513717666</v>
      </c>
      <c r="D19" s="10">
        <f t="shared" si="1"/>
        <v>3291.6535868634114</v>
      </c>
    </row>
    <row r="20" spans="1:4" x14ac:dyDescent="0.25">
      <c r="A20" s="33" t="s">
        <v>217</v>
      </c>
      <c r="B20" s="34">
        <v>433233</v>
      </c>
      <c r="C20" s="98">
        <f t="shared" si="0"/>
        <v>1132.1250513717666</v>
      </c>
      <c r="D20" s="10">
        <f t="shared" si="1"/>
        <v>245236.96619047227</v>
      </c>
    </row>
    <row r="21" spans="1:4" x14ac:dyDescent="0.25">
      <c r="A21" s="33" t="s">
        <v>179</v>
      </c>
      <c r="B21" s="34">
        <v>305577</v>
      </c>
      <c r="C21" s="98">
        <f t="shared" si="0"/>
        <v>1132.1250513717666</v>
      </c>
      <c r="D21" s="10">
        <f t="shared" si="1"/>
        <v>172975.68841151518</v>
      </c>
    </row>
    <row r="22" spans="1:4" x14ac:dyDescent="0.25">
      <c r="A22" s="33" t="s">
        <v>219</v>
      </c>
      <c r="B22" s="34">
        <v>163552</v>
      </c>
      <c r="C22" s="98">
        <f t="shared" si="0"/>
        <v>1132.1250513717666</v>
      </c>
      <c r="D22" s="10">
        <f t="shared" si="1"/>
        <v>92580.658200977588</v>
      </c>
    </row>
    <row r="23" spans="1:4" x14ac:dyDescent="0.25">
      <c r="A23" s="33" t="s">
        <v>223</v>
      </c>
      <c r="B23" s="34">
        <v>14487</v>
      </c>
      <c r="C23" s="98">
        <f t="shared" si="0"/>
        <v>1132.1250513717666</v>
      </c>
      <c r="D23" s="10">
        <f t="shared" si="1"/>
        <v>8200.5478096113911</v>
      </c>
    </row>
    <row r="24" spans="1:4" x14ac:dyDescent="0.25">
      <c r="A24" s="33" t="s">
        <v>190</v>
      </c>
      <c r="B24" s="34">
        <v>60279</v>
      </c>
      <c r="C24" s="98">
        <f t="shared" si="0"/>
        <v>1132.1250513717666</v>
      </c>
      <c r="D24" s="10">
        <f t="shared" si="1"/>
        <v>34121.68298581936</v>
      </c>
    </row>
    <row r="25" spans="1:4" x14ac:dyDescent="0.25">
      <c r="A25" s="33" t="s">
        <v>226</v>
      </c>
      <c r="B25" s="34">
        <v>27401</v>
      </c>
      <c r="C25" s="98">
        <f t="shared" si="0"/>
        <v>1132.1250513717666</v>
      </c>
      <c r="D25" s="10">
        <f t="shared" si="1"/>
        <v>15510.67926631889</v>
      </c>
    </row>
    <row r="26" spans="1:4" x14ac:dyDescent="0.25">
      <c r="A26" s="33" t="s">
        <v>230</v>
      </c>
      <c r="B26" s="34">
        <v>862192</v>
      </c>
      <c r="C26" s="98">
        <f t="shared" si="0"/>
        <v>1132.1250513717666</v>
      </c>
      <c r="D26" s="10">
        <f t="shared" si="1"/>
        <v>488054.58114616311</v>
      </c>
    </row>
    <row r="27" spans="1:4" x14ac:dyDescent="0.25">
      <c r="A27" s="33" t="s">
        <v>232</v>
      </c>
      <c r="B27" s="34">
        <v>8565</v>
      </c>
      <c r="C27" s="98">
        <f t="shared" si="0"/>
        <v>1132.1250513717666</v>
      </c>
      <c r="D27" s="10">
        <f t="shared" si="1"/>
        <v>4848.3255324995907</v>
      </c>
    </row>
    <row r="28" spans="1:4" x14ac:dyDescent="0.25">
      <c r="A28" s="33" t="s">
        <v>235</v>
      </c>
      <c r="B28" s="34">
        <v>16200</v>
      </c>
      <c r="C28" s="98">
        <f t="shared" si="0"/>
        <v>1132.1250513717666</v>
      </c>
      <c r="D28" s="10">
        <f t="shared" si="1"/>
        <v>9170.2129161113098</v>
      </c>
    </row>
    <row r="29" spans="1:4" x14ac:dyDescent="0.25">
      <c r="A29" s="33" t="s">
        <v>236</v>
      </c>
      <c r="B29" s="34">
        <v>1017850</v>
      </c>
      <c r="C29" s="98">
        <f t="shared" si="0"/>
        <v>1132.1250513717666</v>
      </c>
      <c r="D29" s="10">
        <f t="shared" si="1"/>
        <v>576166.74176937633</v>
      </c>
    </row>
    <row r="30" spans="1:4" x14ac:dyDescent="0.25">
      <c r="A30" s="33" t="s">
        <v>180</v>
      </c>
      <c r="B30" s="34">
        <v>2038800</v>
      </c>
      <c r="C30" s="98">
        <f t="shared" si="0"/>
        <v>1132.1250513717666</v>
      </c>
      <c r="D30" s="10">
        <f t="shared" si="1"/>
        <v>1154088.2773683788</v>
      </c>
    </row>
    <row r="31" spans="1:4" x14ac:dyDescent="0.25">
      <c r="A31" s="33" t="s">
        <v>246</v>
      </c>
      <c r="B31" s="34">
        <v>2</v>
      </c>
      <c r="C31" s="98">
        <f t="shared" si="0"/>
        <v>1132.1250513717666</v>
      </c>
      <c r="D31" s="10">
        <f t="shared" si="1"/>
        <v>1.1321250513717667</v>
      </c>
    </row>
    <row r="32" spans="1:4" x14ac:dyDescent="0.25">
      <c r="A32" s="33" t="s">
        <v>248</v>
      </c>
      <c r="B32" s="34">
        <v>38830</v>
      </c>
      <c r="C32" s="98">
        <f t="shared" si="0"/>
        <v>1132.1250513717666</v>
      </c>
      <c r="D32" s="10">
        <f t="shared" si="1"/>
        <v>21980.207872382849</v>
      </c>
    </row>
    <row r="33" spans="1:4" x14ac:dyDescent="0.25">
      <c r="A33" s="33" t="s">
        <v>249</v>
      </c>
      <c r="B33" s="34">
        <v>8800</v>
      </c>
      <c r="C33" s="98">
        <f t="shared" si="0"/>
        <v>1132.1250513717666</v>
      </c>
      <c r="D33" s="10">
        <f t="shared" si="1"/>
        <v>4981.3502260357727</v>
      </c>
    </row>
    <row r="34" spans="1:4" x14ac:dyDescent="0.25">
      <c r="A34" s="33" t="s">
        <v>250</v>
      </c>
      <c r="B34" s="34">
        <v>400</v>
      </c>
      <c r="C34" s="98">
        <f t="shared" si="0"/>
        <v>1132.1250513717666</v>
      </c>
      <c r="D34" s="10">
        <f t="shared" si="1"/>
        <v>226.42501027435333</v>
      </c>
    </row>
    <row r="35" spans="1:4" x14ac:dyDescent="0.25">
      <c r="A35" s="33" t="s">
        <v>252</v>
      </c>
      <c r="B35" s="34">
        <v>26622</v>
      </c>
      <c r="C35" s="98">
        <f t="shared" si="0"/>
        <v>1132.1250513717666</v>
      </c>
      <c r="D35" s="10">
        <f t="shared" si="1"/>
        <v>15069.716558809585</v>
      </c>
    </row>
    <row r="36" spans="1:4" x14ac:dyDescent="0.25">
      <c r="A36" s="33" t="s">
        <v>254</v>
      </c>
      <c r="B36" s="34">
        <v>26282</v>
      </c>
      <c r="C36" s="98">
        <f t="shared" si="0"/>
        <v>1132.1250513717666</v>
      </c>
      <c r="D36" s="10">
        <f t="shared" si="1"/>
        <v>14877.255300076386</v>
      </c>
    </row>
    <row r="37" spans="1:4" x14ac:dyDescent="0.25">
      <c r="A37" s="33" t="s">
        <v>257</v>
      </c>
      <c r="B37" s="34">
        <v>82864</v>
      </c>
      <c r="C37" s="98">
        <f t="shared" si="0"/>
        <v>1132.1250513717666</v>
      </c>
      <c r="D37" s="10">
        <f t="shared" si="1"/>
        <v>46906.205128435038</v>
      </c>
    </row>
    <row r="38" spans="1:4" x14ac:dyDescent="0.25">
      <c r="A38" s="33" t="s">
        <v>261</v>
      </c>
      <c r="B38" s="34">
        <v>43399</v>
      </c>
      <c r="C38" s="98">
        <f t="shared" si="0"/>
        <v>1132.1250513717666</v>
      </c>
      <c r="D38" s="10">
        <f t="shared" si="1"/>
        <v>24566.547552241649</v>
      </c>
    </row>
    <row r="39" spans="1:4" x14ac:dyDescent="0.25">
      <c r="A39" s="33" t="s">
        <v>183</v>
      </c>
      <c r="B39" s="34">
        <v>176702</v>
      </c>
      <c r="C39" s="98">
        <f t="shared" si="0"/>
        <v>1132.1250513717666</v>
      </c>
      <c r="D39" s="10">
        <f t="shared" si="1"/>
        <v>100024.38041374696</v>
      </c>
    </row>
    <row r="40" spans="1:4" x14ac:dyDescent="0.25">
      <c r="A40" s="33" t="s">
        <v>264</v>
      </c>
      <c r="B40" s="34">
        <v>20918</v>
      </c>
      <c r="C40" s="98">
        <f t="shared" si="0"/>
        <v>1132.1250513717666</v>
      </c>
      <c r="D40" s="10">
        <f t="shared" si="1"/>
        <v>11840.895912297306</v>
      </c>
    </row>
    <row r="41" spans="1:4" x14ac:dyDescent="0.25">
      <c r="A41" s="33" t="s">
        <v>266</v>
      </c>
      <c r="B41" s="34">
        <v>1700</v>
      </c>
      <c r="C41" s="98">
        <f t="shared" si="0"/>
        <v>1132.1250513717666</v>
      </c>
      <c r="D41" s="10">
        <f t="shared" si="1"/>
        <v>962.30629366600169</v>
      </c>
    </row>
    <row r="42" spans="1:4" x14ac:dyDescent="0.25">
      <c r="A42" s="33" t="s">
        <v>267</v>
      </c>
      <c r="B42" s="34">
        <v>76</v>
      </c>
      <c r="C42" s="98">
        <f t="shared" si="0"/>
        <v>1132.1250513717666</v>
      </c>
      <c r="D42" s="10">
        <f t="shared" si="1"/>
        <v>43.020751952127128</v>
      </c>
    </row>
    <row r="43" spans="1:4" x14ac:dyDescent="0.25">
      <c r="A43" s="33" t="s">
        <v>184</v>
      </c>
      <c r="B43" s="34">
        <v>144546</v>
      </c>
      <c r="C43" s="98">
        <f t="shared" si="0"/>
        <v>1132.1250513717666</v>
      </c>
      <c r="D43" s="10">
        <f t="shared" si="1"/>
        <v>81822.0738377917</v>
      </c>
    </row>
    <row r="44" spans="1:4" x14ac:dyDescent="0.25">
      <c r="A44" s="33" t="s">
        <v>185</v>
      </c>
      <c r="B44" s="34">
        <v>611302</v>
      </c>
      <c r="C44" s="98">
        <f t="shared" si="0"/>
        <v>1132.1250513717666</v>
      </c>
      <c r="D44" s="10">
        <f t="shared" si="1"/>
        <v>346035.15407683182</v>
      </c>
    </row>
    <row r="45" spans="1:4" x14ac:dyDescent="0.25">
      <c r="A45" s="33" t="s">
        <v>272</v>
      </c>
      <c r="B45" s="34">
        <v>49476</v>
      </c>
      <c r="C45" s="98">
        <f t="shared" si="0"/>
        <v>1132.1250513717666</v>
      </c>
      <c r="D45" s="10">
        <f t="shared" si="1"/>
        <v>28006.509520834763</v>
      </c>
    </row>
    <row r="46" spans="1:4" x14ac:dyDescent="0.25">
      <c r="A46" s="33" t="s">
        <v>273</v>
      </c>
      <c r="B46" s="34">
        <v>49519</v>
      </c>
      <c r="C46" s="98">
        <f t="shared" si="0"/>
        <v>1132.1250513717666</v>
      </c>
      <c r="D46" s="10">
        <f t="shared" si="1"/>
        <v>28030.850209439257</v>
      </c>
    </row>
    <row r="47" spans="1:4" x14ac:dyDescent="0.25">
      <c r="A47" s="33" t="s">
        <v>186</v>
      </c>
      <c r="B47" s="34">
        <v>104948</v>
      </c>
      <c r="C47" s="98">
        <f t="shared" si="0"/>
        <v>1132.1250513717666</v>
      </c>
      <c r="D47" s="10">
        <f t="shared" si="1"/>
        <v>59407.129945682078</v>
      </c>
    </row>
    <row r="48" spans="1:4" x14ac:dyDescent="0.25">
      <c r="A48" s="33" t="s">
        <v>276</v>
      </c>
      <c r="B48" s="34">
        <v>172219</v>
      </c>
      <c r="C48" s="98">
        <f t="shared" si="0"/>
        <v>1132.1250513717666</v>
      </c>
      <c r="D48" s="10">
        <f t="shared" si="1"/>
        <v>97486.722111097144</v>
      </c>
    </row>
    <row r="49" spans="1:4" x14ac:dyDescent="0.25">
      <c r="A49" s="33" t="s">
        <v>278</v>
      </c>
      <c r="B49" s="34">
        <v>5800</v>
      </c>
      <c r="C49" s="98">
        <f t="shared" si="0"/>
        <v>1132.1250513717666</v>
      </c>
      <c r="D49" s="10">
        <f t="shared" si="1"/>
        <v>3283.1626489781233</v>
      </c>
    </row>
    <row r="50" spans="1:4" x14ac:dyDescent="0.25">
      <c r="A50" s="33" t="s">
        <v>279</v>
      </c>
      <c r="B50" s="34">
        <v>97683</v>
      </c>
      <c r="C50" s="98">
        <f t="shared" si="0"/>
        <v>1132.1250513717666</v>
      </c>
      <c r="D50" s="10">
        <f t="shared" si="1"/>
        <v>55294.685696574139</v>
      </c>
    </row>
    <row r="51" spans="1:4" x14ac:dyDescent="0.25">
      <c r="A51" s="33" t="s">
        <v>188</v>
      </c>
      <c r="B51" s="34">
        <v>1129071</v>
      </c>
      <c r="C51" s="98">
        <f t="shared" si="0"/>
        <v>1132.1250513717666</v>
      </c>
      <c r="D51" s="10">
        <f t="shared" si="1"/>
        <v>639124.78193868604</v>
      </c>
    </row>
    <row r="52" spans="1:4" x14ac:dyDescent="0.25">
      <c r="A52" s="33" t="s">
        <v>281</v>
      </c>
      <c r="B52" s="34">
        <v>681</v>
      </c>
      <c r="C52" s="98">
        <f t="shared" si="0"/>
        <v>1132.1250513717666</v>
      </c>
      <c r="D52" s="10">
        <f t="shared" si="1"/>
        <v>385.4885799920865</v>
      </c>
    </row>
    <row r="53" spans="1:4" x14ac:dyDescent="0.25">
      <c r="A53" s="33" t="s">
        <v>284</v>
      </c>
      <c r="B53" s="34">
        <v>60816</v>
      </c>
      <c r="C53" s="98">
        <f t="shared" si="0"/>
        <v>1132.1250513717666</v>
      </c>
      <c r="D53" s="10">
        <f t="shared" si="1"/>
        <v>34425.65856211268</v>
      </c>
    </row>
    <row r="54" spans="1:4" x14ac:dyDescent="0.25">
      <c r="A54" s="33" t="s">
        <v>286</v>
      </c>
      <c r="B54" s="34">
        <v>262136</v>
      </c>
      <c r="C54" s="98">
        <f t="shared" si="0"/>
        <v>1132.1250513717666</v>
      </c>
      <c r="D54" s="10">
        <f t="shared" si="1"/>
        <v>148385.36623319471</v>
      </c>
    </row>
    <row r="55" spans="1:4" x14ac:dyDescent="0.25">
      <c r="A55" s="33" t="s">
        <v>181</v>
      </c>
      <c r="B55" s="34">
        <v>413000</v>
      </c>
      <c r="C55" s="98">
        <f t="shared" si="0"/>
        <v>1132.1250513717666</v>
      </c>
      <c r="D55" s="10">
        <f t="shared" si="1"/>
        <v>233783.8231082698</v>
      </c>
    </row>
    <row r="56" spans="1:4" x14ac:dyDescent="0.25">
      <c r="A56" s="33" t="s">
        <v>178</v>
      </c>
      <c r="B56" s="34">
        <v>47848.936999999998</v>
      </c>
      <c r="C56" s="98">
        <f t="shared" si="0"/>
        <v>1132.1250513717666</v>
      </c>
      <c r="D56" s="10">
        <f t="shared" si="1"/>
        <v>27085.490129604714</v>
      </c>
    </row>
    <row r="57" spans="1:4" x14ac:dyDescent="0.25">
      <c r="A57" s="33" t="s">
        <v>181</v>
      </c>
      <c r="B57" s="34">
        <v>-413000</v>
      </c>
      <c r="C57" s="98">
        <f t="shared" si="0"/>
        <v>1132.1250513717666</v>
      </c>
      <c r="D57" s="10">
        <f t="shared" si="1"/>
        <v>-233783.8231082698</v>
      </c>
    </row>
    <row r="58" spans="1:4" x14ac:dyDescent="0.25">
      <c r="A58" s="33" t="s">
        <v>194</v>
      </c>
      <c r="B58" s="34">
        <v>-45139</v>
      </c>
      <c r="C58" s="98">
        <f t="shared" si="0"/>
        <v>1132.1250513717666</v>
      </c>
      <c r="D58" s="10">
        <f t="shared" si="1"/>
        <v>-25551.496346935084</v>
      </c>
    </row>
    <row r="59" spans="1:4" x14ac:dyDescent="0.25">
      <c r="A59" s="33" t="s">
        <v>195</v>
      </c>
      <c r="B59" s="34">
        <v>-35</v>
      </c>
      <c r="C59" s="98">
        <f t="shared" si="0"/>
        <v>1132.1250513717666</v>
      </c>
      <c r="D59" s="10">
        <f t="shared" si="1"/>
        <v>-19.812188399005919</v>
      </c>
    </row>
    <row r="60" spans="1:4" x14ac:dyDescent="0.25">
      <c r="A60" s="33" t="s">
        <v>198</v>
      </c>
      <c r="B60" s="34">
        <v>-1762</v>
      </c>
      <c r="C60" s="98">
        <f t="shared" si="0"/>
        <v>1132.1250513717666</v>
      </c>
      <c r="D60" s="10">
        <f t="shared" si="1"/>
        <v>-997.40217025852644</v>
      </c>
    </row>
    <row r="61" spans="1:4" x14ac:dyDescent="0.25">
      <c r="A61" s="33" t="s">
        <v>200</v>
      </c>
      <c r="B61" s="34">
        <v>3361355</v>
      </c>
      <c r="C61" s="98">
        <f t="shared" si="0"/>
        <v>1132.1250513717666</v>
      </c>
      <c r="D61" s="10">
        <f t="shared" si="1"/>
        <v>1902737.1010268724</v>
      </c>
    </row>
    <row r="62" spans="1:4" x14ac:dyDescent="0.25">
      <c r="A62" s="33" t="s">
        <v>201</v>
      </c>
      <c r="B62" s="34">
        <v>-297433</v>
      </c>
      <c r="C62" s="98">
        <f t="shared" si="0"/>
        <v>1132.1250513717666</v>
      </c>
      <c r="D62" s="10">
        <f t="shared" si="1"/>
        <v>-168365.67520232935</v>
      </c>
    </row>
    <row r="63" spans="1:4" x14ac:dyDescent="0.25">
      <c r="A63" s="33" t="s">
        <v>175</v>
      </c>
      <c r="B63" s="34">
        <v>-165628</v>
      </c>
      <c r="C63" s="98">
        <f t="shared" si="0"/>
        <v>1132.1250513717666</v>
      </c>
      <c r="D63" s="10">
        <f t="shared" si="1"/>
        <v>-93755.804004301492</v>
      </c>
    </row>
    <row r="64" spans="1:4" x14ac:dyDescent="0.25">
      <c r="A64" s="33" t="s">
        <v>202</v>
      </c>
      <c r="B64" s="34">
        <v>-65</v>
      </c>
      <c r="C64" s="98">
        <f t="shared" si="0"/>
        <v>1132.1250513717666</v>
      </c>
      <c r="D64" s="10">
        <f t="shared" si="1"/>
        <v>-36.794064169582413</v>
      </c>
    </row>
    <row r="65" spans="1:4" x14ac:dyDescent="0.25">
      <c r="A65" s="33" t="s">
        <v>203</v>
      </c>
      <c r="B65" s="34">
        <v>-800</v>
      </c>
      <c r="C65" s="98">
        <f t="shared" si="0"/>
        <v>1132.1250513717666</v>
      </c>
      <c r="D65" s="10">
        <f t="shared" si="1"/>
        <v>-452.85002054870665</v>
      </c>
    </row>
    <row r="66" spans="1:4" x14ac:dyDescent="0.25">
      <c r="A66" s="33" t="s">
        <v>204</v>
      </c>
      <c r="B66" s="34">
        <v>-2200</v>
      </c>
      <c r="C66" s="98">
        <f t="shared" si="0"/>
        <v>1132.1250513717666</v>
      </c>
      <c r="D66" s="10">
        <f t="shared" si="1"/>
        <v>-1245.3375565089432</v>
      </c>
    </row>
    <row r="67" spans="1:4" x14ac:dyDescent="0.25">
      <c r="A67" s="33" t="s">
        <v>206</v>
      </c>
      <c r="B67" s="34">
        <v>-8579</v>
      </c>
      <c r="C67" s="98">
        <f t="shared" si="0"/>
        <v>1132.1250513717666</v>
      </c>
      <c r="D67" s="10">
        <f t="shared" si="1"/>
        <v>-4856.2504078591928</v>
      </c>
    </row>
    <row r="68" spans="1:4" x14ac:dyDescent="0.25">
      <c r="A68" s="33" t="s">
        <v>207</v>
      </c>
      <c r="B68" s="34">
        <v>-390795</v>
      </c>
      <c r="C68" s="98">
        <f t="shared" si="0"/>
        <v>1132.1250513717666</v>
      </c>
      <c r="D68" s="10">
        <f t="shared" si="1"/>
        <v>-221214.40472541479</v>
      </c>
    </row>
    <row r="69" spans="1:4" x14ac:dyDescent="0.25">
      <c r="A69" s="33" t="s">
        <v>176</v>
      </c>
      <c r="B69" s="34">
        <v>-158112</v>
      </c>
      <c r="C69" s="98">
        <f t="shared" ref="C69:C114" si="2">IF(B69&lt;&gt;0,$H$1,"")</f>
        <v>1132.1250513717666</v>
      </c>
      <c r="D69" s="10">
        <f t="shared" ref="D69:D114" si="3">(+B69*C69)/2000</f>
        <v>-89501.278061246383</v>
      </c>
    </row>
    <row r="70" spans="1:4" x14ac:dyDescent="0.25">
      <c r="A70" s="33" t="s">
        <v>208</v>
      </c>
      <c r="B70" s="34">
        <v>-25371</v>
      </c>
      <c r="C70" s="98">
        <f t="shared" si="2"/>
        <v>1132.1250513717666</v>
      </c>
      <c r="D70" s="10">
        <f t="shared" si="3"/>
        <v>-14361.572339176544</v>
      </c>
    </row>
    <row r="71" spans="1:4" x14ac:dyDescent="0.25">
      <c r="A71" s="33" t="s">
        <v>189</v>
      </c>
      <c r="B71" s="34">
        <v>-60746</v>
      </c>
      <c r="C71" s="98">
        <f t="shared" si="2"/>
        <v>1132.1250513717666</v>
      </c>
      <c r="D71" s="10">
        <f t="shared" si="3"/>
        <v>-34386.034185314667</v>
      </c>
    </row>
    <row r="72" spans="1:4" x14ac:dyDescent="0.25">
      <c r="A72" s="33" t="s">
        <v>212</v>
      </c>
      <c r="B72" s="34">
        <v>-18922</v>
      </c>
      <c r="C72" s="98">
        <f t="shared" si="2"/>
        <v>1132.1250513717666</v>
      </c>
      <c r="D72" s="10">
        <f t="shared" si="3"/>
        <v>-10711.035111028285</v>
      </c>
    </row>
    <row r="73" spans="1:4" x14ac:dyDescent="0.25">
      <c r="A73" s="33" t="s">
        <v>213</v>
      </c>
      <c r="B73" s="34">
        <v>-5659</v>
      </c>
      <c r="C73" s="98">
        <f t="shared" si="2"/>
        <v>1132.1250513717666</v>
      </c>
      <c r="D73" s="10">
        <f t="shared" si="3"/>
        <v>-3203.3478328564138</v>
      </c>
    </row>
    <row r="74" spans="1:4" x14ac:dyDescent="0.25">
      <c r="A74" s="33" t="s">
        <v>177</v>
      </c>
      <c r="B74" s="34">
        <v>-1</v>
      </c>
      <c r="C74" s="98">
        <f t="shared" si="2"/>
        <v>1132.1250513717666</v>
      </c>
      <c r="D74" s="10">
        <f t="shared" si="3"/>
        <v>-0.56606252568588333</v>
      </c>
    </row>
    <row r="75" spans="1:4" x14ac:dyDescent="0.25">
      <c r="A75" s="33" t="s">
        <v>215</v>
      </c>
      <c r="B75" s="34">
        <v>-1115</v>
      </c>
      <c r="C75" s="98">
        <f t="shared" si="2"/>
        <v>1132.1250513717666</v>
      </c>
      <c r="D75" s="10">
        <f t="shared" si="3"/>
        <v>-631.15971613975989</v>
      </c>
    </row>
    <row r="76" spans="1:4" x14ac:dyDescent="0.25">
      <c r="A76" s="33" t="s">
        <v>217</v>
      </c>
      <c r="B76" s="34">
        <v>8</v>
      </c>
      <c r="C76" s="98">
        <f t="shared" si="2"/>
        <v>1132.1250513717666</v>
      </c>
      <c r="D76" s="10">
        <f t="shared" si="3"/>
        <v>4.5285002054870667</v>
      </c>
    </row>
    <row r="77" spans="1:4" x14ac:dyDescent="0.25">
      <c r="A77" s="33" t="s">
        <v>179</v>
      </c>
      <c r="B77" s="34">
        <v>-3025</v>
      </c>
      <c r="C77" s="98">
        <f t="shared" si="2"/>
        <v>1132.1250513717666</v>
      </c>
      <c r="D77" s="10">
        <f t="shared" si="3"/>
        <v>-1712.3391401997969</v>
      </c>
    </row>
    <row r="78" spans="1:4" x14ac:dyDescent="0.25">
      <c r="A78" s="33" t="s">
        <v>219</v>
      </c>
      <c r="B78" s="34">
        <v>-40695</v>
      </c>
      <c r="C78" s="98">
        <f t="shared" si="2"/>
        <v>1132.1250513717666</v>
      </c>
      <c r="D78" s="10">
        <f t="shared" si="3"/>
        <v>-23035.914482787022</v>
      </c>
    </row>
    <row r="79" spans="1:4" x14ac:dyDescent="0.25">
      <c r="A79" s="33" t="s">
        <v>223</v>
      </c>
      <c r="B79" s="34">
        <v>-35479</v>
      </c>
      <c r="C79" s="98">
        <f t="shared" si="2"/>
        <v>1132.1250513717666</v>
      </c>
      <c r="D79" s="10">
        <f t="shared" si="3"/>
        <v>-20083.332348809454</v>
      </c>
    </row>
    <row r="80" spans="1:4" x14ac:dyDescent="0.25">
      <c r="A80" s="33" t="s">
        <v>190</v>
      </c>
      <c r="B80" s="34">
        <v>-34998</v>
      </c>
      <c r="C80" s="98">
        <f t="shared" si="2"/>
        <v>1132.1250513717666</v>
      </c>
      <c r="D80" s="10">
        <f t="shared" si="3"/>
        <v>-19811.056273954546</v>
      </c>
    </row>
    <row r="81" spans="1:4" x14ac:dyDescent="0.25">
      <c r="A81" s="33" t="s">
        <v>290</v>
      </c>
      <c r="B81" s="34">
        <v>-144215</v>
      </c>
      <c r="C81" s="98">
        <f t="shared" si="2"/>
        <v>1132.1250513717666</v>
      </c>
      <c r="D81" s="10">
        <f t="shared" si="3"/>
        <v>-81634.707141789666</v>
      </c>
    </row>
    <row r="82" spans="1:4" x14ac:dyDescent="0.25">
      <c r="A82" s="33" t="s">
        <v>226</v>
      </c>
      <c r="B82" s="34">
        <v>-26969</v>
      </c>
      <c r="C82" s="98">
        <f t="shared" si="2"/>
        <v>1132.1250513717666</v>
      </c>
      <c r="D82" s="10">
        <f t="shared" si="3"/>
        <v>-15266.140255222586</v>
      </c>
    </row>
    <row r="83" spans="1:4" x14ac:dyDescent="0.25">
      <c r="A83" s="33" t="s">
        <v>230</v>
      </c>
      <c r="B83" s="34">
        <v>-646518</v>
      </c>
      <c r="C83" s="98">
        <f t="shared" si="2"/>
        <v>1132.1250513717666</v>
      </c>
      <c r="D83" s="10">
        <f t="shared" si="3"/>
        <v>-365969.61198138591</v>
      </c>
    </row>
    <row r="84" spans="1:4" x14ac:dyDescent="0.25">
      <c r="A84" s="33" t="s">
        <v>232</v>
      </c>
      <c r="B84" s="34">
        <v>-27009</v>
      </c>
      <c r="C84" s="98">
        <f t="shared" si="2"/>
        <v>1132.1250513717666</v>
      </c>
      <c r="D84" s="10">
        <f t="shared" si="3"/>
        <v>-15288.782756250022</v>
      </c>
    </row>
    <row r="85" spans="1:4" x14ac:dyDescent="0.25">
      <c r="A85" s="33" t="s">
        <v>235</v>
      </c>
      <c r="B85" s="34">
        <v>-52425</v>
      </c>
      <c r="C85" s="98">
        <f t="shared" si="2"/>
        <v>1132.1250513717666</v>
      </c>
      <c r="D85" s="10">
        <f t="shared" si="3"/>
        <v>-29675.827909082433</v>
      </c>
    </row>
    <row r="86" spans="1:4" x14ac:dyDescent="0.25">
      <c r="A86" s="33" t="s">
        <v>236</v>
      </c>
      <c r="B86" s="34">
        <v>-54818</v>
      </c>
      <c r="C86" s="98">
        <f t="shared" si="2"/>
        <v>1132.1250513717666</v>
      </c>
      <c r="D86" s="10">
        <f t="shared" si="3"/>
        <v>-31030.415533048752</v>
      </c>
    </row>
    <row r="87" spans="1:4" x14ac:dyDescent="0.25">
      <c r="A87" s="33" t="s">
        <v>180</v>
      </c>
      <c r="B87" s="34">
        <v>-389258</v>
      </c>
      <c r="C87" s="98">
        <f t="shared" si="2"/>
        <v>1132.1250513717666</v>
      </c>
      <c r="D87" s="10">
        <f t="shared" si="3"/>
        <v>-220344.36662343555</v>
      </c>
    </row>
    <row r="88" spans="1:4" x14ac:dyDescent="0.25">
      <c r="A88" s="33" t="s">
        <v>246</v>
      </c>
      <c r="B88" s="34">
        <v>-9</v>
      </c>
      <c r="C88" s="98">
        <f t="shared" si="2"/>
        <v>1132.1250513717666</v>
      </c>
      <c r="D88" s="10">
        <f t="shared" si="3"/>
        <v>-5.0945627311729496</v>
      </c>
    </row>
    <row r="89" spans="1:4" x14ac:dyDescent="0.25">
      <c r="A89" s="33" t="s">
        <v>248</v>
      </c>
      <c r="B89" s="34">
        <v>-1181</v>
      </c>
      <c r="C89" s="98">
        <f t="shared" si="2"/>
        <v>1132.1250513717666</v>
      </c>
      <c r="D89" s="10">
        <f t="shared" si="3"/>
        <v>-668.51984283502816</v>
      </c>
    </row>
    <row r="90" spans="1:4" x14ac:dyDescent="0.25">
      <c r="A90" s="33" t="s">
        <v>249</v>
      </c>
      <c r="B90" s="34">
        <v>-5999</v>
      </c>
      <c r="C90" s="98">
        <f t="shared" si="2"/>
        <v>1132.1250513717666</v>
      </c>
      <c r="D90" s="10">
        <f t="shared" si="3"/>
        <v>-3395.8090915896137</v>
      </c>
    </row>
    <row r="91" spans="1:4" x14ac:dyDescent="0.25">
      <c r="A91" s="33" t="s">
        <v>250</v>
      </c>
      <c r="B91" s="34">
        <v>-6600</v>
      </c>
      <c r="C91" s="98">
        <f t="shared" si="2"/>
        <v>1132.1250513717666</v>
      </c>
      <c r="D91" s="10">
        <f t="shared" si="3"/>
        <v>-3736.01266952683</v>
      </c>
    </row>
    <row r="92" spans="1:4" x14ac:dyDescent="0.25">
      <c r="A92" s="33" t="s">
        <v>251</v>
      </c>
      <c r="B92" s="34">
        <v>-23745</v>
      </c>
      <c r="C92" s="98">
        <f t="shared" si="2"/>
        <v>1132.1250513717666</v>
      </c>
      <c r="D92" s="10">
        <f t="shared" si="3"/>
        <v>-13441.1546724113</v>
      </c>
    </row>
    <row r="93" spans="1:4" x14ac:dyDescent="0.25">
      <c r="A93" s="33" t="s">
        <v>252</v>
      </c>
      <c r="B93" s="34">
        <v>-83310</v>
      </c>
      <c r="C93" s="98">
        <f t="shared" si="2"/>
        <v>1132.1250513717666</v>
      </c>
      <c r="D93" s="10">
        <f t="shared" si="3"/>
        <v>-47158.66901489094</v>
      </c>
    </row>
    <row r="94" spans="1:4" x14ac:dyDescent="0.25">
      <c r="A94" s="33" t="s">
        <v>254</v>
      </c>
      <c r="B94" s="34">
        <v>-2675</v>
      </c>
      <c r="C94" s="98">
        <f t="shared" si="2"/>
        <v>1132.1250513717666</v>
      </c>
      <c r="D94" s="10">
        <f t="shared" si="3"/>
        <v>-1514.2172562097378</v>
      </c>
    </row>
    <row r="95" spans="1:4" x14ac:dyDescent="0.25">
      <c r="A95" s="33" t="s">
        <v>257</v>
      </c>
      <c r="B95" s="34">
        <v>-277031</v>
      </c>
      <c r="C95" s="98">
        <f t="shared" si="2"/>
        <v>1132.1250513717666</v>
      </c>
      <c r="D95" s="10">
        <f t="shared" si="3"/>
        <v>-156816.86755328593</v>
      </c>
    </row>
    <row r="96" spans="1:4" x14ac:dyDescent="0.25">
      <c r="A96" s="33" t="s">
        <v>261</v>
      </c>
      <c r="B96" s="34">
        <v>-192170</v>
      </c>
      <c r="C96" s="98">
        <f t="shared" si="2"/>
        <v>1132.1250513717666</v>
      </c>
      <c r="D96" s="10">
        <f t="shared" si="3"/>
        <v>-108780.23556105619</v>
      </c>
    </row>
    <row r="97" spans="1:4" x14ac:dyDescent="0.25">
      <c r="A97" s="33" t="s">
        <v>183</v>
      </c>
      <c r="B97" s="34">
        <v>-403044</v>
      </c>
      <c r="C97" s="98">
        <f t="shared" si="2"/>
        <v>1132.1250513717666</v>
      </c>
      <c r="D97" s="10">
        <f t="shared" si="3"/>
        <v>-228148.10460254113</v>
      </c>
    </row>
    <row r="98" spans="1:4" x14ac:dyDescent="0.25">
      <c r="A98" s="33" t="s">
        <v>264</v>
      </c>
      <c r="B98" s="34">
        <v>-35434</v>
      </c>
      <c r="C98" s="98">
        <f t="shared" si="2"/>
        <v>1132.1250513717666</v>
      </c>
      <c r="D98" s="10">
        <f t="shared" si="3"/>
        <v>-20057.859535153591</v>
      </c>
    </row>
    <row r="99" spans="1:4" x14ac:dyDescent="0.25">
      <c r="A99" s="33" t="s">
        <v>266</v>
      </c>
      <c r="B99" s="34">
        <v>-7107</v>
      </c>
      <c r="C99" s="98">
        <f t="shared" si="2"/>
        <v>1132.1250513717666</v>
      </c>
      <c r="D99" s="10">
        <f t="shared" si="3"/>
        <v>-4023.0063700495725</v>
      </c>
    </row>
    <row r="100" spans="1:4" x14ac:dyDescent="0.25">
      <c r="A100" s="33" t="s">
        <v>267</v>
      </c>
      <c r="B100" s="34">
        <v>-975</v>
      </c>
      <c r="C100" s="98">
        <f t="shared" si="2"/>
        <v>1132.1250513717666</v>
      </c>
      <c r="D100" s="10">
        <f t="shared" si="3"/>
        <v>-551.91096254373622</v>
      </c>
    </row>
    <row r="101" spans="1:4" x14ac:dyDescent="0.25">
      <c r="A101" s="33" t="s">
        <v>184</v>
      </c>
      <c r="B101" s="34">
        <v>-23533</v>
      </c>
      <c r="C101" s="98">
        <f t="shared" si="2"/>
        <v>1132.1250513717666</v>
      </c>
      <c r="D101" s="10">
        <f t="shared" si="3"/>
        <v>-13321.149416965893</v>
      </c>
    </row>
    <row r="102" spans="1:4" x14ac:dyDescent="0.25">
      <c r="A102" s="33" t="s">
        <v>185</v>
      </c>
      <c r="B102" s="34">
        <v>-279421</v>
      </c>
      <c r="C102" s="98">
        <f t="shared" si="2"/>
        <v>1132.1250513717666</v>
      </c>
      <c r="D102" s="10">
        <f t="shared" si="3"/>
        <v>-158169.7569896752</v>
      </c>
    </row>
    <row r="103" spans="1:4" x14ac:dyDescent="0.25">
      <c r="A103" s="33" t="s">
        <v>270</v>
      </c>
      <c r="B103" s="34">
        <v>-2095</v>
      </c>
      <c r="C103" s="98">
        <f t="shared" si="2"/>
        <v>1132.1250513717666</v>
      </c>
      <c r="D103" s="10">
        <f t="shared" si="3"/>
        <v>-1185.9009913119255</v>
      </c>
    </row>
    <row r="104" spans="1:4" x14ac:dyDescent="0.25">
      <c r="A104" s="33" t="s">
        <v>272</v>
      </c>
      <c r="B104" s="34">
        <v>-30000</v>
      </c>
      <c r="C104" s="98">
        <f t="shared" si="2"/>
        <v>1132.1250513717666</v>
      </c>
      <c r="D104" s="10">
        <f t="shared" si="3"/>
        <v>-16981.875770576498</v>
      </c>
    </row>
    <row r="105" spans="1:4" x14ac:dyDescent="0.25">
      <c r="A105" s="33" t="s">
        <v>273</v>
      </c>
      <c r="B105" s="34">
        <v>-175</v>
      </c>
      <c r="C105" s="98">
        <f t="shared" si="2"/>
        <v>1132.1250513717666</v>
      </c>
      <c r="D105" s="10">
        <f t="shared" si="3"/>
        <v>-99.06094199502958</v>
      </c>
    </row>
    <row r="106" spans="1:4" x14ac:dyDescent="0.25">
      <c r="A106" s="33" t="s">
        <v>186</v>
      </c>
      <c r="B106" s="34">
        <v>-36049</v>
      </c>
      <c r="C106" s="98">
        <f t="shared" si="2"/>
        <v>1132.1250513717666</v>
      </c>
      <c r="D106" s="10">
        <f t="shared" si="3"/>
        <v>-20405.987988450408</v>
      </c>
    </row>
    <row r="107" spans="1:4" x14ac:dyDescent="0.25">
      <c r="A107" s="33" t="s">
        <v>276</v>
      </c>
      <c r="B107" s="34">
        <v>-64235</v>
      </c>
      <c r="C107" s="98">
        <f t="shared" si="2"/>
        <v>1132.1250513717666</v>
      </c>
      <c r="D107" s="10">
        <f t="shared" si="3"/>
        <v>-36361.026337432711</v>
      </c>
    </row>
    <row r="108" spans="1:4" x14ac:dyDescent="0.25">
      <c r="A108" s="33" t="s">
        <v>278</v>
      </c>
      <c r="B108" s="34">
        <v>-870</v>
      </c>
      <c r="C108" s="98">
        <f t="shared" si="2"/>
        <v>1132.1250513717666</v>
      </c>
      <c r="D108" s="10">
        <f t="shared" si="3"/>
        <v>-492.47439734671849</v>
      </c>
    </row>
    <row r="109" spans="1:4" x14ac:dyDescent="0.25">
      <c r="A109" s="33" t="s">
        <v>279</v>
      </c>
      <c r="B109" s="34">
        <v>-43118</v>
      </c>
      <c r="C109" s="98">
        <f t="shared" si="2"/>
        <v>1132.1250513717666</v>
      </c>
      <c r="D109" s="10">
        <f t="shared" si="3"/>
        <v>-24407.483982523918</v>
      </c>
    </row>
    <row r="110" spans="1:4" x14ac:dyDescent="0.25">
      <c r="A110" s="33" t="s">
        <v>188</v>
      </c>
      <c r="B110" s="34">
        <v>-391631</v>
      </c>
      <c r="C110" s="98">
        <f t="shared" si="2"/>
        <v>1132.1250513717666</v>
      </c>
      <c r="D110" s="10">
        <f t="shared" si="3"/>
        <v>-221687.63299688816</v>
      </c>
    </row>
    <row r="111" spans="1:4" x14ac:dyDescent="0.25">
      <c r="A111" s="33" t="s">
        <v>280</v>
      </c>
      <c r="B111" s="34">
        <v>-3692</v>
      </c>
      <c r="C111" s="98">
        <f t="shared" si="2"/>
        <v>1132.1250513717666</v>
      </c>
      <c r="D111" s="10">
        <f t="shared" si="3"/>
        <v>-2089.9028448322811</v>
      </c>
    </row>
    <row r="112" spans="1:4" x14ac:dyDescent="0.25">
      <c r="A112" s="33" t="s">
        <v>281</v>
      </c>
      <c r="B112" s="34">
        <v>-27429</v>
      </c>
      <c r="C112" s="98">
        <f t="shared" si="2"/>
        <v>1132.1250513717666</v>
      </c>
      <c r="D112" s="10">
        <f t="shared" si="3"/>
        <v>-15526.529017038094</v>
      </c>
    </row>
    <row r="113" spans="1:4" x14ac:dyDescent="0.25">
      <c r="A113" s="33" t="s">
        <v>284</v>
      </c>
      <c r="B113" s="34">
        <v>-3960</v>
      </c>
      <c r="C113" s="98">
        <f t="shared" si="2"/>
        <v>1132.1250513717666</v>
      </c>
      <c r="D113" s="10">
        <f t="shared" si="3"/>
        <v>-2241.6076017160981</v>
      </c>
    </row>
    <row r="114" spans="1:4" x14ac:dyDescent="0.25">
      <c r="A114" s="33" t="s">
        <v>286</v>
      </c>
      <c r="B114" s="34">
        <v>-466011</v>
      </c>
      <c r="C114" s="98">
        <f t="shared" si="2"/>
        <v>1132.1250513717666</v>
      </c>
      <c r="D114" s="10">
        <f t="shared" si="3"/>
        <v>-263791.3636574042</v>
      </c>
    </row>
    <row r="115" spans="1:4" x14ac:dyDescent="0.25">
      <c r="A115" s="33"/>
      <c r="B115" s="34"/>
      <c r="C115" s="98"/>
      <c r="D115" s="10"/>
    </row>
    <row r="116" spans="1:4" ht="15.75" thickBot="1" x14ac:dyDescent="0.3">
      <c r="A116" s="36"/>
      <c r="B116" s="37"/>
      <c r="C116" s="15"/>
      <c r="D116" s="16"/>
    </row>
    <row r="117" spans="1:4" ht="16.5" thickTop="1" thickBot="1" x14ac:dyDescent="0.3">
      <c r="A117" s="13"/>
      <c r="B117" s="96">
        <f>SUM(B4:B116)</f>
        <v>5877232.977</v>
      </c>
      <c r="C117" s="14"/>
      <c r="D117" s="97">
        <f>SUM(D4:D116)</f>
        <v>3326881.3430049806</v>
      </c>
    </row>
  </sheetData>
  <hyperlinks>
    <hyperlink ref="D1" r:id="rId1"/>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2012</v>
      </c>
      <c r="D4" s="72" t="s">
        <v>40</v>
      </c>
      <c r="E4" s="68"/>
    </row>
    <row r="5" spans="1:7" thickBot="1" x14ac:dyDescent="0.35">
      <c r="A5" s="238" t="s">
        <v>21</v>
      </c>
      <c r="B5" s="239"/>
      <c r="C5" s="78">
        <f>+F10*'Census Stats'!$L$38</f>
        <v>2396763.2060900475</v>
      </c>
      <c r="D5" s="66">
        <f>+D13/C5</f>
        <v>8.8227268118390558</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10744641</v>
      </c>
      <c r="E10" s="19">
        <f>+D10/D13</f>
        <v>0.50811726120894707</v>
      </c>
      <c r="F10" s="42">
        <v>961914</v>
      </c>
      <c r="G10" s="58">
        <f>+D10/F10</f>
        <v>11.170064059780811</v>
      </c>
    </row>
    <row r="11" spans="1:7" ht="14.45" x14ac:dyDescent="0.3">
      <c r="A11" s="235" t="s">
        <v>17</v>
      </c>
      <c r="B11" s="236"/>
      <c r="C11" s="237"/>
      <c r="D11" s="70">
        <f>9098951+93594</f>
        <v>9192545</v>
      </c>
      <c r="E11" s="19">
        <f>+D11/D13</f>
        <v>0.43471818080659935</v>
      </c>
      <c r="F11" s="34">
        <f>120261+3496</f>
        <v>123757</v>
      </c>
      <c r="G11" s="58">
        <f>+D11/F11</f>
        <v>74.278990279337734</v>
      </c>
    </row>
    <row r="12" spans="1:7" ht="14.45" x14ac:dyDescent="0.3">
      <c r="A12" s="235" t="s">
        <v>18</v>
      </c>
      <c r="B12" s="236"/>
      <c r="C12" s="237"/>
      <c r="D12" s="70">
        <v>1208801</v>
      </c>
      <c r="E12" s="19">
        <f>+D12/D13</f>
        <v>5.7164557984453503E-2</v>
      </c>
      <c r="F12" s="6"/>
      <c r="G12" s="47"/>
    </row>
    <row r="13" spans="1:7" thickBot="1" x14ac:dyDescent="0.35">
      <c r="A13" s="48"/>
      <c r="B13" s="240" t="s">
        <v>13</v>
      </c>
      <c r="C13" s="239"/>
      <c r="D13" s="71">
        <f>SUM(D10:D12)</f>
        <v>21145987</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'2012 Known'!B67</f>
        <v>14688684.153999999</v>
      </c>
      <c r="E18" s="19">
        <f>+D18/(D18+D19)</f>
        <v>0.65528581875416336</v>
      </c>
      <c r="F18" s="10">
        <f>'2012 Known'!D67</f>
        <v>6574990.9407079471</v>
      </c>
      <c r="G18" s="47"/>
    </row>
    <row r="19" spans="1:8" ht="18" x14ac:dyDescent="0.35">
      <c r="A19" s="235" t="s">
        <v>34</v>
      </c>
      <c r="B19" s="236"/>
      <c r="C19" s="237"/>
      <c r="D19" s="59">
        <f>'2012 Unknown'!B127</f>
        <v>7727006.4249999989</v>
      </c>
      <c r="E19" s="60">
        <f>+D19/(D18+D19)</f>
        <v>0.34471418124583669</v>
      </c>
      <c r="F19" s="74">
        <f>'2012 Unknown'!D127</f>
        <v>3489259.0462222076</v>
      </c>
      <c r="G19" s="76" t="s">
        <v>39</v>
      </c>
    </row>
    <row r="20" spans="1:8" ht="18.75" thickBot="1" x14ac:dyDescent="0.4">
      <c r="A20" s="48"/>
      <c r="B20" s="50"/>
      <c r="C20" s="50"/>
      <c r="D20" s="73">
        <f>+C4</f>
        <v>2012</v>
      </c>
      <c r="E20" s="55" t="s">
        <v>4</v>
      </c>
      <c r="F20" s="75">
        <f>SUM(F18:F19)</f>
        <v>10064249.986930154</v>
      </c>
      <c r="G20" s="77">
        <f>+F20/G22</f>
        <v>1.4489140881699556</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activeCell="F2" sqref="F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2012</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49582.500999999997</v>
      </c>
      <c r="C4" s="34">
        <v>0</v>
      </c>
      <c r="D4" s="10">
        <v>0</v>
      </c>
    </row>
    <row r="5" spans="1:5" x14ac:dyDescent="0.25">
      <c r="A5" s="33" t="s">
        <v>294</v>
      </c>
      <c r="B5" s="34">
        <v>349273.41600000003</v>
      </c>
      <c r="C5" s="34">
        <v>0</v>
      </c>
      <c r="D5" s="10">
        <v>0</v>
      </c>
    </row>
    <row r="6" spans="1:5" x14ac:dyDescent="0.25">
      <c r="A6" s="33" t="s">
        <v>295</v>
      </c>
      <c r="B6" s="34">
        <v>-1203.3699999999999</v>
      </c>
      <c r="C6" s="34">
        <v>0</v>
      </c>
      <c r="D6" s="10">
        <v>0</v>
      </c>
    </row>
    <row r="7" spans="1:5" x14ac:dyDescent="0.25">
      <c r="A7" s="33" t="s">
        <v>296</v>
      </c>
      <c r="B7" s="34">
        <v>-636.02</v>
      </c>
      <c r="C7" s="34">
        <v>0</v>
      </c>
      <c r="D7" s="10">
        <v>0</v>
      </c>
    </row>
    <row r="8" spans="1:5" x14ac:dyDescent="0.25">
      <c r="A8" s="33" t="s">
        <v>297</v>
      </c>
      <c r="B8" s="34">
        <v>349723.13699999999</v>
      </c>
      <c r="C8" s="34">
        <v>0</v>
      </c>
      <c r="D8" s="10">
        <v>0</v>
      </c>
    </row>
    <row r="9" spans="1:5" x14ac:dyDescent="0.25">
      <c r="A9" s="33" t="s">
        <v>312</v>
      </c>
      <c r="B9" s="34">
        <v>1424335.0120000001</v>
      </c>
      <c r="C9" s="34">
        <v>2349.8257362489862</v>
      </c>
      <c r="D9" s="10">
        <v>1673469.5341190542</v>
      </c>
    </row>
    <row r="10" spans="1:5" x14ac:dyDescent="0.25">
      <c r="A10" s="33" t="s">
        <v>313</v>
      </c>
      <c r="B10" s="34">
        <v>2385189</v>
      </c>
      <c r="C10" s="34">
        <v>2393.7645012833036</v>
      </c>
      <c r="D10" s="10">
        <v>2854790.3785257111</v>
      </c>
    </row>
    <row r="11" spans="1:5" x14ac:dyDescent="0.25">
      <c r="A11" s="33" t="s">
        <v>299</v>
      </c>
      <c r="B11" s="34">
        <v>108457.06999999999</v>
      </c>
      <c r="C11" s="34">
        <v>1049.4122071397105</v>
      </c>
      <c r="D11" s="10">
        <v>56908.086604303033</v>
      </c>
    </row>
    <row r="12" spans="1:5" x14ac:dyDescent="0.25">
      <c r="A12" s="33" t="s">
        <v>300</v>
      </c>
      <c r="B12" s="34">
        <v>1607.07</v>
      </c>
      <c r="C12" s="34">
        <v>19630.897386131426</v>
      </c>
      <c r="D12" s="10">
        <v>15774.113131165115</v>
      </c>
    </row>
    <row r="13" spans="1:5" x14ac:dyDescent="0.25">
      <c r="A13" s="33" t="s">
        <v>301</v>
      </c>
      <c r="B13" s="34">
        <v>175177.486</v>
      </c>
      <c r="C13" s="34">
        <v>1749.2870770111949</v>
      </c>
      <c r="D13" s="10">
        <v>153217.85622155474</v>
      </c>
    </row>
    <row r="14" spans="1:5" x14ac:dyDescent="0.25">
      <c r="A14" s="33" t="s">
        <v>305</v>
      </c>
      <c r="B14" s="34">
        <v>909496.56500000006</v>
      </c>
      <c r="C14" s="34">
        <v>788.66119728262413</v>
      </c>
      <c r="D14" s="10">
        <v>358642.32493866701</v>
      </c>
    </row>
    <row r="15" spans="1:5" x14ac:dyDescent="0.25">
      <c r="A15" s="33" t="s">
        <v>308</v>
      </c>
      <c r="B15" s="34">
        <v>1098069.3709999998</v>
      </c>
      <c r="C15" s="34">
        <v>870.20470928410623</v>
      </c>
      <c r="D15" s="10">
        <v>477772.5688824181</v>
      </c>
    </row>
    <row r="16" spans="1:5" x14ac:dyDescent="0.25">
      <c r="A16" s="33" t="s">
        <v>309</v>
      </c>
      <c r="B16" s="34">
        <v>223749.87400000001</v>
      </c>
      <c r="C16" s="34">
        <v>1049.718162234019</v>
      </c>
      <c r="D16" s="10">
        <v>117437.15326768665</v>
      </c>
    </row>
    <row r="17" spans="1:4" x14ac:dyDescent="0.25">
      <c r="A17" s="33" t="s">
        <v>298</v>
      </c>
      <c r="B17" s="34">
        <v>298.26</v>
      </c>
      <c r="C17" s="34">
        <v>72576.7303584982</v>
      </c>
      <c r="D17" s="10">
        <v>10823.367798362837</v>
      </c>
    </row>
    <row r="18" spans="1:4" x14ac:dyDescent="0.25">
      <c r="A18" s="33" t="s">
        <v>302</v>
      </c>
      <c r="B18" s="34">
        <v>17192.718000000001</v>
      </c>
      <c r="C18" s="34">
        <v>14670.939396443593</v>
      </c>
      <c r="D18" s="10">
        <v>126116.66191907245</v>
      </c>
    </row>
    <row r="19" spans="1:4" x14ac:dyDescent="0.25">
      <c r="A19" s="33" t="s">
        <v>303</v>
      </c>
      <c r="B19" s="34">
        <v>25360</v>
      </c>
      <c r="C19" s="34">
        <v>1266.8699948920128</v>
      </c>
      <c r="D19" s="10">
        <v>16063.91153523072</v>
      </c>
    </row>
    <row r="20" spans="1:4" x14ac:dyDescent="0.25">
      <c r="A20" s="33" t="s">
        <v>304</v>
      </c>
      <c r="B20" s="34">
        <v>31650.31</v>
      </c>
      <c r="C20" s="34">
        <v>2994.5387814226269</v>
      </c>
      <c r="D20" s="10">
        <v>47389.040369524198</v>
      </c>
    </row>
    <row r="21" spans="1:4" x14ac:dyDescent="0.25">
      <c r="A21" s="33" t="s">
        <v>306</v>
      </c>
      <c r="B21" s="34">
        <v>430639.962</v>
      </c>
      <c r="C21" s="34">
        <v>0</v>
      </c>
      <c r="D21" s="10">
        <v>0</v>
      </c>
    </row>
    <row r="22" spans="1:4" x14ac:dyDescent="0.25">
      <c r="A22" s="33" t="s">
        <v>307</v>
      </c>
      <c r="B22" s="34">
        <v>714783.17700000003</v>
      </c>
      <c r="C22" s="34">
        <v>0</v>
      </c>
      <c r="D22" s="10">
        <v>0</v>
      </c>
    </row>
    <row r="23" spans="1:4" x14ac:dyDescent="0.25">
      <c r="A23" s="33" t="s">
        <v>310</v>
      </c>
      <c r="B23" s="34">
        <v>29277.7</v>
      </c>
      <c r="C23" s="34">
        <v>5720.0200830619897</v>
      </c>
      <c r="D23" s="10">
        <v>83734.515992932007</v>
      </c>
    </row>
    <row r="24" spans="1:4" x14ac:dyDescent="0.25">
      <c r="A24" s="33" t="s">
        <v>311</v>
      </c>
      <c r="B24" s="34">
        <v>677389.93</v>
      </c>
      <c r="C24" s="34">
        <v>0</v>
      </c>
      <c r="D24" s="10">
        <v>0</v>
      </c>
    </row>
    <row r="25" spans="1:4" x14ac:dyDescent="0.25">
      <c r="A25" s="33" t="s">
        <v>314</v>
      </c>
      <c r="B25" s="34">
        <v>190.13800000000001</v>
      </c>
      <c r="C25" s="34">
        <v>0</v>
      </c>
      <c r="D25" s="10">
        <v>0</v>
      </c>
    </row>
    <row r="26" spans="1:4" x14ac:dyDescent="0.25">
      <c r="A26" s="33" t="s">
        <v>195</v>
      </c>
      <c r="B26" s="34">
        <v>217875</v>
      </c>
      <c r="C26" s="34">
        <v>665.75434897682396</v>
      </c>
      <c r="D26" s="10">
        <v>72525.614391662763</v>
      </c>
    </row>
    <row r="27" spans="1:4" x14ac:dyDescent="0.25">
      <c r="A27" s="33" t="s">
        <v>315</v>
      </c>
      <c r="B27" s="34">
        <v>21416.769</v>
      </c>
      <c r="C27" s="34">
        <v>665.75434897682396</v>
      </c>
      <c r="D27" s="10">
        <v>7129.153551391013</v>
      </c>
    </row>
    <row r="28" spans="1:4" x14ac:dyDescent="0.25">
      <c r="A28" s="33" t="s">
        <v>317</v>
      </c>
      <c r="B28" s="34">
        <v>11481.12</v>
      </c>
      <c r="C28" s="34">
        <v>0</v>
      </c>
      <c r="D28" s="10">
        <v>0</v>
      </c>
    </row>
    <row r="29" spans="1:4" x14ac:dyDescent="0.25">
      <c r="A29" s="33" t="s">
        <v>200</v>
      </c>
      <c r="B29" s="34">
        <v>-449210</v>
      </c>
      <c r="C29" s="34">
        <v>0</v>
      </c>
      <c r="D29" s="10">
        <v>0</v>
      </c>
    </row>
    <row r="30" spans="1:4" x14ac:dyDescent="0.25">
      <c r="A30" s="33" t="s">
        <v>175</v>
      </c>
      <c r="B30" s="34">
        <v>6832</v>
      </c>
      <c r="C30" s="34">
        <v>0</v>
      </c>
      <c r="D30" s="10">
        <v>0</v>
      </c>
    </row>
    <row r="31" spans="1:4" x14ac:dyDescent="0.25">
      <c r="A31" s="33" t="s">
        <v>318</v>
      </c>
      <c r="B31" s="34">
        <v>400153</v>
      </c>
      <c r="C31" s="34">
        <v>665.75434897682396</v>
      </c>
      <c r="D31" s="10">
        <v>133201.80000306151</v>
      </c>
    </row>
    <row r="32" spans="1:4" x14ac:dyDescent="0.25">
      <c r="A32" s="33" t="s">
        <v>319</v>
      </c>
      <c r="B32" s="34">
        <v>3.48</v>
      </c>
      <c r="C32" s="34">
        <v>0</v>
      </c>
      <c r="D32" s="10">
        <v>0</v>
      </c>
    </row>
    <row r="33" spans="1:4" x14ac:dyDescent="0.25">
      <c r="A33" s="33" t="s">
        <v>320</v>
      </c>
      <c r="B33" s="34">
        <v>2300840</v>
      </c>
      <c r="C33" s="34">
        <v>0</v>
      </c>
      <c r="D33" s="10">
        <v>0</v>
      </c>
    </row>
    <row r="34" spans="1:4" x14ac:dyDescent="0.25">
      <c r="A34" s="33" t="s">
        <v>321</v>
      </c>
      <c r="B34" s="34">
        <v>716417</v>
      </c>
      <c r="C34" s="34">
        <v>0</v>
      </c>
      <c r="D34" s="10">
        <v>0</v>
      </c>
    </row>
    <row r="35" spans="1:4" x14ac:dyDescent="0.25">
      <c r="A35" s="33" t="s">
        <v>322</v>
      </c>
      <c r="B35" s="34">
        <v>-80276</v>
      </c>
      <c r="C35" s="34">
        <v>0</v>
      </c>
      <c r="D35" s="10">
        <v>0</v>
      </c>
    </row>
    <row r="36" spans="1:4" x14ac:dyDescent="0.25">
      <c r="A36" s="35" t="s">
        <v>323</v>
      </c>
      <c r="B36" s="34">
        <v>979910</v>
      </c>
      <c r="C36" s="34">
        <v>0</v>
      </c>
      <c r="D36" s="10">
        <v>0</v>
      </c>
    </row>
    <row r="37" spans="1:4" x14ac:dyDescent="0.25">
      <c r="A37" s="35" t="s">
        <v>324</v>
      </c>
      <c r="B37" s="34">
        <v>1390.963</v>
      </c>
      <c r="C37" s="34">
        <v>0</v>
      </c>
      <c r="D37" s="10">
        <v>0</v>
      </c>
    </row>
    <row r="38" spans="1:4" x14ac:dyDescent="0.25">
      <c r="A38" s="35" t="s">
        <v>325</v>
      </c>
      <c r="B38" s="34">
        <v>4187.8609999999999</v>
      </c>
      <c r="C38" s="34">
        <v>0</v>
      </c>
      <c r="D38" s="10">
        <v>0</v>
      </c>
    </row>
    <row r="39" spans="1:4" x14ac:dyDescent="0.25">
      <c r="A39" s="35" t="s">
        <v>326</v>
      </c>
      <c r="B39" s="34">
        <v>5803.0730000000003</v>
      </c>
      <c r="C39" s="34">
        <v>0</v>
      </c>
      <c r="D39" s="10">
        <v>0</v>
      </c>
    </row>
    <row r="40" spans="1:4" x14ac:dyDescent="0.25">
      <c r="A40" s="35" t="s">
        <v>328</v>
      </c>
      <c r="B40" s="34">
        <v>75568</v>
      </c>
      <c r="C40" s="34">
        <v>0</v>
      </c>
      <c r="D40" s="10">
        <v>0</v>
      </c>
    </row>
    <row r="41" spans="1:4" x14ac:dyDescent="0.25">
      <c r="A41" s="35" t="s">
        <v>330</v>
      </c>
      <c r="B41" s="34">
        <v>57.93</v>
      </c>
      <c r="C41" s="34">
        <v>0</v>
      </c>
      <c r="D41" s="10">
        <v>0</v>
      </c>
    </row>
    <row r="42" spans="1:4" x14ac:dyDescent="0.25">
      <c r="A42" s="35" t="s">
        <v>236</v>
      </c>
      <c r="B42" s="34">
        <v>549589</v>
      </c>
      <c r="C42" s="34">
        <v>665.75434897682396</v>
      </c>
      <c r="D42" s="10">
        <v>182945.63344991187</v>
      </c>
    </row>
    <row r="43" spans="1:4" x14ac:dyDescent="0.25">
      <c r="A43" s="35" t="s">
        <v>331</v>
      </c>
      <c r="B43" s="34">
        <v>500</v>
      </c>
      <c r="C43" s="34">
        <v>801.87985943021681</v>
      </c>
      <c r="D43" s="10">
        <v>200.4699648575542</v>
      </c>
    </row>
    <row r="44" spans="1:4" x14ac:dyDescent="0.25">
      <c r="A44" s="35" t="s">
        <v>332</v>
      </c>
      <c r="B44" s="34">
        <v>124794</v>
      </c>
      <c r="C44" s="34">
        <v>0</v>
      </c>
      <c r="D44" s="10">
        <v>0</v>
      </c>
    </row>
    <row r="45" spans="1:4" x14ac:dyDescent="0.25">
      <c r="A45" s="35" t="s">
        <v>333</v>
      </c>
      <c r="B45" s="34">
        <v>134.72900000000001</v>
      </c>
      <c r="C45" s="34">
        <v>0</v>
      </c>
      <c r="D45" s="10">
        <v>0</v>
      </c>
    </row>
    <row r="46" spans="1:4" x14ac:dyDescent="0.25">
      <c r="A46" s="35" t="s">
        <v>183</v>
      </c>
      <c r="B46" s="34">
        <v>120000</v>
      </c>
      <c r="C46" s="34">
        <v>665.75434897682396</v>
      </c>
      <c r="D46" s="10">
        <v>39945.260938609434</v>
      </c>
    </row>
    <row r="47" spans="1:4" x14ac:dyDescent="0.25">
      <c r="A47" s="35" t="s">
        <v>335</v>
      </c>
      <c r="B47" s="34">
        <v>3402</v>
      </c>
      <c r="C47" s="34">
        <v>0</v>
      </c>
      <c r="D47" s="10">
        <v>0</v>
      </c>
    </row>
    <row r="48" spans="1:4" x14ac:dyDescent="0.25">
      <c r="A48" s="35" t="s">
        <v>336</v>
      </c>
      <c r="B48" s="34">
        <v>58.277000000000001</v>
      </c>
      <c r="C48" s="34">
        <v>0</v>
      </c>
      <c r="D48" s="10">
        <v>0</v>
      </c>
    </row>
    <row r="49" spans="1:4" x14ac:dyDescent="0.25">
      <c r="A49" s="35" t="s">
        <v>185</v>
      </c>
      <c r="B49" s="34">
        <v>439124</v>
      </c>
      <c r="C49" s="34">
        <v>665.75434897682396</v>
      </c>
      <c r="D49" s="10">
        <v>146174.35637004941</v>
      </c>
    </row>
    <row r="50" spans="1:4" x14ac:dyDescent="0.25">
      <c r="A50" s="35" t="s">
        <v>337</v>
      </c>
      <c r="B50" s="34">
        <v>6421.8</v>
      </c>
      <c r="C50" s="34">
        <v>0</v>
      </c>
      <c r="D50" s="10">
        <v>0</v>
      </c>
    </row>
    <row r="51" spans="1:4" x14ac:dyDescent="0.25">
      <c r="A51" s="35" t="s">
        <v>338</v>
      </c>
      <c r="B51" s="34">
        <v>215.179</v>
      </c>
      <c r="C51" s="34">
        <v>0</v>
      </c>
      <c r="D51" s="10">
        <v>0</v>
      </c>
    </row>
    <row r="52" spans="1:4" x14ac:dyDescent="0.25">
      <c r="A52" s="35" t="s">
        <v>340</v>
      </c>
      <c r="B52" s="34">
        <v>29.4</v>
      </c>
      <c r="C52" s="34">
        <v>0</v>
      </c>
      <c r="D52" s="10">
        <v>0</v>
      </c>
    </row>
    <row r="53" spans="1:4" x14ac:dyDescent="0.25">
      <c r="A53" s="35" t="s">
        <v>342</v>
      </c>
      <c r="B53" s="34">
        <v>2762.123</v>
      </c>
      <c r="C53" s="34">
        <v>0</v>
      </c>
      <c r="D53" s="10">
        <v>0</v>
      </c>
    </row>
    <row r="54" spans="1:4" x14ac:dyDescent="0.25">
      <c r="A54" s="35" t="s">
        <v>343</v>
      </c>
      <c r="B54" s="34">
        <v>3538.12</v>
      </c>
      <c r="C54" s="34">
        <v>0</v>
      </c>
      <c r="D54" s="10">
        <v>0</v>
      </c>
    </row>
    <row r="55" spans="1:4" x14ac:dyDescent="0.25">
      <c r="A55" s="35" t="s">
        <v>344</v>
      </c>
      <c r="B55" s="34">
        <v>38227</v>
      </c>
      <c r="C55" s="34">
        <v>0</v>
      </c>
      <c r="D55" s="10">
        <v>0</v>
      </c>
    </row>
    <row r="56" spans="1:4" x14ac:dyDescent="0.25">
      <c r="A56" s="35" t="s">
        <v>316</v>
      </c>
      <c r="B56" s="34">
        <v>2787.3119999999999</v>
      </c>
      <c r="C56" s="34">
        <v>0</v>
      </c>
      <c r="D56" s="10">
        <v>0</v>
      </c>
    </row>
    <row r="57" spans="1:4" x14ac:dyDescent="0.25">
      <c r="A57" s="35" t="s">
        <v>348</v>
      </c>
      <c r="B57" s="34">
        <v>1243.96</v>
      </c>
      <c r="C57" s="34">
        <v>0</v>
      </c>
      <c r="D57" s="10">
        <v>0</v>
      </c>
    </row>
    <row r="58" spans="1:4" x14ac:dyDescent="0.25">
      <c r="A58" s="35" t="s">
        <v>349</v>
      </c>
      <c r="B58" s="34">
        <v>42519.24</v>
      </c>
      <c r="C58" s="34">
        <v>0</v>
      </c>
      <c r="D58" s="10">
        <v>0</v>
      </c>
    </row>
    <row r="59" spans="1:4" x14ac:dyDescent="0.25">
      <c r="A59" s="35" t="s">
        <v>350</v>
      </c>
      <c r="B59" s="34">
        <v>95.68</v>
      </c>
      <c r="C59" s="34">
        <v>0</v>
      </c>
      <c r="D59" s="10">
        <v>0</v>
      </c>
    </row>
    <row r="60" spans="1:4" x14ac:dyDescent="0.25">
      <c r="A60" s="35" t="s">
        <v>352</v>
      </c>
      <c r="B60" s="34">
        <v>25294.784</v>
      </c>
      <c r="C60" s="34">
        <v>0</v>
      </c>
      <c r="D60" s="10">
        <v>0</v>
      </c>
    </row>
    <row r="61" spans="1:4" x14ac:dyDescent="0.25">
      <c r="A61" s="35" t="s">
        <v>353</v>
      </c>
      <c r="B61" s="34">
        <v>1475.0070000000001</v>
      </c>
      <c r="C61" s="34">
        <v>988.65799650043755</v>
      </c>
      <c r="D61" s="10">
        <v>729.13873272206047</v>
      </c>
    </row>
    <row r="62" spans="1:4" x14ac:dyDescent="0.25">
      <c r="A62" s="35" t="s">
        <v>356</v>
      </c>
      <c r="B62" s="34">
        <v>1478.24</v>
      </c>
      <c r="C62" s="34">
        <v>0</v>
      </c>
      <c r="D62" s="10">
        <v>0</v>
      </c>
    </row>
    <row r="63" spans="1:4" x14ac:dyDescent="0.25">
      <c r="A63" s="35" t="s">
        <v>357</v>
      </c>
      <c r="B63" s="34">
        <v>95827.199999999997</v>
      </c>
      <c r="C63" s="34">
        <v>0</v>
      </c>
      <c r="D63" s="10">
        <v>0</v>
      </c>
    </row>
    <row r="64" spans="1:4" x14ac:dyDescent="0.25">
      <c r="A64" s="35" t="s">
        <v>358</v>
      </c>
      <c r="B64" s="34">
        <v>17113.599999999999</v>
      </c>
      <c r="C64" s="34">
        <v>0</v>
      </c>
      <c r="D64" s="10">
        <v>0</v>
      </c>
    </row>
    <row r="65" spans="1:4" x14ac:dyDescent="0.25">
      <c r="A65" s="35"/>
      <c r="B65" s="34"/>
      <c r="C65" s="34"/>
      <c r="D65" s="10"/>
    </row>
    <row r="66" spans="1:4" ht="15.75" thickBot="1" x14ac:dyDescent="0.3">
      <c r="A66" s="36"/>
      <c r="B66" s="37"/>
      <c r="C66" s="37"/>
      <c r="D66" s="16"/>
    </row>
    <row r="67" spans="1:4" ht="16.5" thickTop="1" thickBot="1" x14ac:dyDescent="0.3">
      <c r="A67" s="1"/>
      <c r="B67" s="17">
        <f>SUM(B4:B66)</f>
        <v>14688684.153999999</v>
      </c>
      <c r="D67" s="17">
        <f>SUM(D4:D66)</f>
        <v>6574990.9407079471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4"/>
  <sheetViews>
    <sheetView showGridLines="0" topLeftCell="A4" zoomScaleNormal="100" workbookViewId="0">
      <selection activeCell="D21" sqref="D21"/>
    </sheetView>
  </sheetViews>
  <sheetFormatPr defaultRowHeight="15" x14ac:dyDescent="0.25"/>
  <cols>
    <col min="1" max="1" width="9.140625" customWidth="1"/>
    <col min="3" max="3" width="10.7109375" customWidth="1"/>
    <col min="4" max="4" width="15.5703125" customWidth="1"/>
    <col min="5" max="7" width="14.85546875" customWidth="1"/>
    <col min="8" max="8" width="13.5703125" customWidth="1"/>
    <col min="9" max="9" width="13.28515625" bestFit="1" customWidth="1"/>
  </cols>
  <sheetData>
    <row r="1" spans="1:10" ht="18.75" x14ac:dyDescent="0.3">
      <c r="A1" s="3" t="s">
        <v>11</v>
      </c>
    </row>
    <row r="2" spans="1:10" ht="9" customHeight="1" thickBot="1" x14ac:dyDescent="0.3"/>
    <row r="3" spans="1:10" x14ac:dyDescent="0.25">
      <c r="A3" s="63"/>
      <c r="B3" s="193" t="s">
        <v>15</v>
      </c>
      <c r="C3" s="65" t="s">
        <v>25</v>
      </c>
      <c r="D3" s="69"/>
      <c r="E3" s="67"/>
      <c r="J3" t="s">
        <v>441</v>
      </c>
    </row>
    <row r="4" spans="1:10" x14ac:dyDescent="0.25">
      <c r="A4" s="217" t="s">
        <v>16</v>
      </c>
      <c r="B4" s="219"/>
      <c r="C4" s="38">
        <v>2017</v>
      </c>
      <c r="D4" s="72" t="s">
        <v>40</v>
      </c>
      <c r="E4" s="68"/>
      <c r="J4" s="102">
        <v>2.5143823962889646</v>
      </c>
    </row>
    <row r="5" spans="1:10" ht="15.75" thickBot="1" x14ac:dyDescent="0.3">
      <c r="A5" s="220" t="s">
        <v>21</v>
      </c>
      <c r="B5" s="221"/>
      <c r="C5" s="141">
        <f>+F10*J4</f>
        <v>2524399.6957557797</v>
      </c>
      <c r="D5" s="187">
        <f>+D13/C5</f>
        <v>8.4125580571510721</v>
      </c>
    </row>
    <row r="6" spans="1:10" x14ac:dyDescent="0.25">
      <c r="A6" s="6"/>
      <c r="B6" s="6"/>
      <c r="C6" s="23"/>
      <c r="E6" s="22"/>
    </row>
    <row r="7" spans="1:10" ht="19.5" thickBot="1" x14ac:dyDescent="0.35">
      <c r="A7" s="61" t="s">
        <v>36</v>
      </c>
      <c r="C7" s="23"/>
      <c r="E7" s="22"/>
    </row>
    <row r="8" spans="1:10" x14ac:dyDescent="0.25">
      <c r="A8" s="43"/>
      <c r="B8" s="44"/>
      <c r="C8" s="44"/>
      <c r="D8" s="44"/>
      <c r="E8" s="44"/>
      <c r="F8" s="45" t="s">
        <v>20</v>
      </c>
      <c r="G8" s="56" t="s">
        <v>41</v>
      </c>
    </row>
    <row r="9" spans="1:10" x14ac:dyDescent="0.25">
      <c r="A9" s="46"/>
      <c r="B9" s="18"/>
      <c r="C9" s="18"/>
      <c r="D9" s="20" t="s">
        <v>14</v>
      </c>
      <c r="E9" s="32" t="s">
        <v>28</v>
      </c>
      <c r="F9" s="25" t="s">
        <v>35</v>
      </c>
      <c r="G9" s="57" t="s">
        <v>20</v>
      </c>
    </row>
    <row r="10" spans="1:10" x14ac:dyDescent="0.25">
      <c r="A10" s="217" t="s">
        <v>12</v>
      </c>
      <c r="B10" s="218"/>
      <c r="C10" s="219"/>
      <c r="D10" s="185">
        <v>10931999</v>
      </c>
      <c r="E10" s="19">
        <f>+D10/D13</f>
        <v>0.51477019054645079</v>
      </c>
      <c r="F10" s="183">
        <v>1003984</v>
      </c>
      <c r="G10" s="181">
        <f>+D10/F10</f>
        <v>10.888618742928173</v>
      </c>
      <c r="J10" s="1"/>
    </row>
    <row r="11" spans="1:10" x14ac:dyDescent="0.25">
      <c r="A11" s="217" t="s">
        <v>17</v>
      </c>
      <c r="B11" s="218"/>
      <c r="C11" s="219"/>
      <c r="D11" s="185">
        <v>9089842</v>
      </c>
      <c r="E11" s="19">
        <f>+D11/D13</f>
        <v>0.42802599034057098</v>
      </c>
      <c r="F11" s="184">
        <f>127836+6856</f>
        <v>134692</v>
      </c>
      <c r="G11" s="181">
        <f>+D11/F11</f>
        <v>67.486131321830541</v>
      </c>
      <c r="J11" s="1"/>
    </row>
    <row r="12" spans="1:10" x14ac:dyDescent="0.25">
      <c r="A12" s="217" t="s">
        <v>18</v>
      </c>
      <c r="B12" s="218"/>
      <c r="C12" s="219"/>
      <c r="D12" s="185">
        <v>1214818</v>
      </c>
      <c r="E12" s="19">
        <f>+D12/D13</f>
        <v>5.7203819112978178E-2</v>
      </c>
      <c r="F12" s="6"/>
      <c r="G12" s="182"/>
      <c r="J12" s="1"/>
    </row>
    <row r="13" spans="1:10" ht="15.75" thickBot="1" x14ac:dyDescent="0.3">
      <c r="A13" s="192"/>
      <c r="B13" s="222" t="s">
        <v>13</v>
      </c>
      <c r="C13" s="221"/>
      <c r="D13" s="186">
        <f>SUM(D10:D12)</f>
        <v>21236659</v>
      </c>
      <c r="E13" s="49"/>
      <c r="F13" s="50"/>
      <c r="G13" s="51"/>
    </row>
    <row r="15" spans="1:10" ht="19.5" thickBot="1" x14ac:dyDescent="0.35">
      <c r="A15" s="62" t="s">
        <v>37</v>
      </c>
    </row>
    <row r="16" spans="1:10" x14ac:dyDescent="0.25">
      <c r="A16" s="43"/>
      <c r="B16" s="44"/>
      <c r="C16" s="44"/>
      <c r="D16" s="44"/>
      <c r="E16" s="45" t="s">
        <v>29</v>
      </c>
      <c r="F16" s="52" t="s">
        <v>5</v>
      </c>
      <c r="G16" s="53"/>
    </row>
    <row r="17" spans="1:9" ht="18" x14ac:dyDescent="0.35">
      <c r="A17" s="54"/>
      <c r="B17" s="6"/>
      <c r="C17" s="6"/>
      <c r="D17" s="32" t="s">
        <v>19</v>
      </c>
      <c r="E17" s="25" t="s">
        <v>30</v>
      </c>
      <c r="F17" s="21" t="s">
        <v>8</v>
      </c>
      <c r="G17" s="47"/>
    </row>
    <row r="18" spans="1:9" ht="15.75" thickBot="1" x14ac:dyDescent="0.3">
      <c r="A18" s="217" t="s">
        <v>33</v>
      </c>
      <c r="B18" s="218"/>
      <c r="C18" s="219"/>
      <c r="D18" s="188">
        <f>'2017 Known'!C70</f>
        <v>18364274.908000004</v>
      </c>
      <c r="E18" s="19">
        <f>+D18/(D18+D19)</f>
        <v>0.87873239443619322</v>
      </c>
      <c r="F18" s="188">
        <f>'2017 Known'!E70</f>
        <v>10029376.275007376</v>
      </c>
      <c r="G18" s="47"/>
    </row>
    <row r="19" spans="1:9" ht="18" x14ac:dyDescent="0.35">
      <c r="A19" s="217" t="s">
        <v>34</v>
      </c>
      <c r="B19" s="218"/>
      <c r="C19" s="219"/>
      <c r="D19" s="191">
        <f>'2017 Unknown - Net by'!C81</f>
        <v>2534322.9179999991</v>
      </c>
      <c r="E19" s="60">
        <f>+D19/(D18+D19)</f>
        <v>0.12126760556380684</v>
      </c>
      <c r="F19" s="189">
        <f>'2017 Unknown - Net by'!E81</f>
        <v>1188668.7804200475</v>
      </c>
      <c r="G19" s="76" t="s">
        <v>39</v>
      </c>
    </row>
    <row r="20" spans="1:9" ht="18.75" thickBot="1" x14ac:dyDescent="0.4">
      <c r="A20" s="48"/>
      <c r="B20" s="50"/>
      <c r="C20" s="50"/>
      <c r="D20" s="73"/>
      <c r="E20" s="195" t="s">
        <v>482</v>
      </c>
      <c r="F20" s="190">
        <f>SUM(F18:F19)</f>
        <v>11218045.055427425</v>
      </c>
      <c r="G20" s="77">
        <f>+F20/G22</f>
        <v>1.6150218390483337</v>
      </c>
      <c r="I20" s="106"/>
    </row>
    <row r="22" spans="1:9" ht="18" x14ac:dyDescent="0.35">
      <c r="F22" s="24" t="s">
        <v>27</v>
      </c>
      <c r="G22" s="194">
        <f>+G29</f>
        <v>6946064</v>
      </c>
      <c r="H22" s="31"/>
    </row>
    <row r="24" spans="1:9" x14ac:dyDescent="0.25">
      <c r="E24" s="31" t="s">
        <v>22</v>
      </c>
      <c r="F24" s="26"/>
      <c r="G24" s="26"/>
    </row>
    <row r="25" spans="1:9" x14ac:dyDescent="0.25">
      <c r="E25" s="26"/>
      <c r="F25" s="26"/>
      <c r="G25" s="29" t="s">
        <v>26</v>
      </c>
    </row>
    <row r="26" spans="1:9" ht="18" x14ac:dyDescent="0.35">
      <c r="E26" s="26"/>
      <c r="F26" s="26"/>
      <c r="G26" s="30" t="s">
        <v>3</v>
      </c>
    </row>
    <row r="27" spans="1:9" x14ac:dyDescent="0.25">
      <c r="E27" s="26"/>
      <c r="F27" s="27" t="s">
        <v>23</v>
      </c>
      <c r="G27" s="28">
        <v>1131957</v>
      </c>
    </row>
    <row r="28" spans="1:9" x14ac:dyDescent="0.25">
      <c r="E28" s="26"/>
      <c r="F28" s="27" t="s">
        <v>24</v>
      </c>
      <c r="G28" s="28">
        <v>2399078</v>
      </c>
    </row>
    <row r="29" spans="1:9" x14ac:dyDescent="0.25">
      <c r="E29" s="26"/>
      <c r="F29" s="27" t="s">
        <v>25</v>
      </c>
      <c r="G29" s="28">
        <v>6946064</v>
      </c>
    </row>
    <row r="32" spans="1:9" x14ac:dyDescent="0.25">
      <c r="E32" s="24" t="s">
        <v>461</v>
      </c>
      <c r="F32" s="26" t="s">
        <v>372</v>
      </c>
    </row>
    <row r="33" spans="6:6" x14ac:dyDescent="0.25">
      <c r="F33" s="26" t="s">
        <v>459</v>
      </c>
    </row>
    <row r="34" spans="6:6" x14ac:dyDescent="0.25">
      <c r="F34" s="26" t="s">
        <v>460</v>
      </c>
    </row>
  </sheetData>
  <mergeCells count="8">
    <mergeCell ref="A18:C18"/>
    <mergeCell ref="A19:C19"/>
    <mergeCell ref="A4:B4"/>
    <mergeCell ref="A5:B5"/>
    <mergeCell ref="A10:C10"/>
    <mergeCell ref="A11:C11"/>
    <mergeCell ref="A12:C12"/>
    <mergeCell ref="B13:C13"/>
  </mergeCells>
  <pageMargins left="0.7" right="0.7" top="0.75" bottom="0.75" header="0.3" footer="0.3"/>
  <pageSetup orientation="portrait" r:id="rId1"/>
  <ignoredErrors>
    <ignoredError sqref="G2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2012</v>
      </c>
      <c r="D1" s="8" t="s">
        <v>2</v>
      </c>
      <c r="H1" s="130">
        <v>903.13346574503635</v>
      </c>
      <c r="I1" t="s">
        <v>6</v>
      </c>
    </row>
    <row r="2" spans="1:9" ht="18.75" x14ac:dyDescent="0.3">
      <c r="A2" s="3"/>
      <c r="B2" s="11" t="s">
        <v>31</v>
      </c>
      <c r="C2" s="11" t="s">
        <v>1</v>
      </c>
      <c r="D2" s="11" t="s">
        <v>5</v>
      </c>
      <c r="E2" s="4"/>
      <c r="F2" s="40" t="s">
        <v>9</v>
      </c>
      <c r="G2" s="38">
        <v>2012</v>
      </c>
      <c r="H2" s="41"/>
    </row>
    <row r="3" spans="1:9" ht="19.5" x14ac:dyDescent="0.35">
      <c r="A3" s="5" t="s">
        <v>0</v>
      </c>
      <c r="B3" s="12"/>
      <c r="C3" s="12" t="s">
        <v>7</v>
      </c>
      <c r="D3" s="12" t="s">
        <v>8</v>
      </c>
      <c r="E3" s="7"/>
    </row>
    <row r="4" spans="1:9" x14ac:dyDescent="0.25">
      <c r="A4" s="33" t="s">
        <v>171</v>
      </c>
      <c r="B4" s="34">
        <v>-52.36</v>
      </c>
      <c r="C4" s="98">
        <f>IF(B4&lt;&gt;0,$H$1,"")</f>
        <v>903.13346574503635</v>
      </c>
      <c r="D4" s="10">
        <f>(+B4*C4)/2000</f>
        <v>-23.644034133205054</v>
      </c>
    </row>
    <row r="5" spans="1:9" x14ac:dyDescent="0.25">
      <c r="A5" s="33" t="s">
        <v>171</v>
      </c>
      <c r="B5" s="34">
        <v>-101.64</v>
      </c>
      <c r="C5" s="98">
        <f t="shared" ref="C5:C68" si="0">IF(B5&lt;&gt;0,$H$1,"")</f>
        <v>903.13346574503635</v>
      </c>
      <c r="D5" s="10">
        <f t="shared" ref="D5:D68" si="1">(+B5*C5)/2000</f>
        <v>-45.897242729162748</v>
      </c>
    </row>
    <row r="6" spans="1:9" x14ac:dyDescent="0.25">
      <c r="A6" s="33" t="s">
        <v>194</v>
      </c>
      <c r="B6" s="34">
        <v>126962.18</v>
      </c>
      <c r="C6" s="98">
        <f t="shared" si="0"/>
        <v>903.13346574503635</v>
      </c>
      <c r="D6" s="10">
        <f t="shared" si="1"/>
        <v>57331.896820972572</v>
      </c>
    </row>
    <row r="7" spans="1:9" x14ac:dyDescent="0.25">
      <c r="A7" s="33" t="s">
        <v>195</v>
      </c>
      <c r="B7" s="34">
        <v>22000</v>
      </c>
      <c r="C7" s="98">
        <f t="shared" si="0"/>
        <v>903.13346574503635</v>
      </c>
      <c r="D7" s="10">
        <f t="shared" si="1"/>
        <v>9934.4681231954</v>
      </c>
    </row>
    <row r="8" spans="1:9" x14ac:dyDescent="0.25">
      <c r="A8" s="33" t="s">
        <v>198</v>
      </c>
      <c r="B8" s="34">
        <v>1600</v>
      </c>
      <c r="C8" s="98">
        <f t="shared" si="0"/>
        <v>903.13346574503635</v>
      </c>
      <c r="D8" s="10">
        <f t="shared" si="1"/>
        <v>722.50677259602912</v>
      </c>
    </row>
    <row r="9" spans="1:9" x14ac:dyDescent="0.25">
      <c r="A9" s="33" t="s">
        <v>200</v>
      </c>
      <c r="B9" s="34">
        <v>-2428057</v>
      </c>
      <c r="C9" s="98">
        <f t="shared" si="0"/>
        <v>903.13346574503635</v>
      </c>
      <c r="D9" s="10">
        <f t="shared" si="1"/>
        <v>-1096429.7667182479</v>
      </c>
    </row>
    <row r="10" spans="1:9" x14ac:dyDescent="0.25">
      <c r="A10" s="33" t="s">
        <v>201</v>
      </c>
      <c r="B10" s="34">
        <v>1236010</v>
      </c>
      <c r="C10" s="98">
        <f t="shared" si="0"/>
        <v>903.13346574503635</v>
      </c>
      <c r="D10" s="10">
        <f t="shared" si="1"/>
        <v>558140.99749776116</v>
      </c>
    </row>
    <row r="11" spans="1:9" x14ac:dyDescent="0.25">
      <c r="A11" s="33" t="s">
        <v>175</v>
      </c>
      <c r="B11" s="34">
        <v>384112.7</v>
      </c>
      <c r="C11" s="98">
        <f t="shared" si="0"/>
        <v>903.13346574503635</v>
      </c>
      <c r="D11" s="10">
        <f t="shared" si="1"/>
        <v>173452.51699384171</v>
      </c>
    </row>
    <row r="12" spans="1:9" x14ac:dyDescent="0.25">
      <c r="A12" s="33" t="s">
        <v>203</v>
      </c>
      <c r="B12" s="34">
        <v>1200</v>
      </c>
      <c r="C12" s="98">
        <f t="shared" si="0"/>
        <v>903.13346574503635</v>
      </c>
      <c r="D12" s="10">
        <f t="shared" si="1"/>
        <v>541.88007944702179</v>
      </c>
    </row>
    <row r="13" spans="1:9" x14ac:dyDescent="0.25">
      <c r="A13" s="33" t="s">
        <v>207</v>
      </c>
      <c r="B13" s="34">
        <v>467588</v>
      </c>
      <c r="C13" s="98">
        <f t="shared" si="0"/>
        <v>903.13346574503635</v>
      </c>
      <c r="D13" s="10">
        <f t="shared" si="1"/>
        <v>211147.18549039503</v>
      </c>
    </row>
    <row r="14" spans="1:9" x14ac:dyDescent="0.25">
      <c r="A14" s="33" t="s">
        <v>176</v>
      </c>
      <c r="B14" s="34">
        <v>252059</v>
      </c>
      <c r="C14" s="98">
        <f t="shared" si="0"/>
        <v>903.13346574503635</v>
      </c>
      <c r="D14" s="10">
        <f t="shared" si="1"/>
        <v>113821.45912111407</v>
      </c>
    </row>
    <row r="15" spans="1:9" x14ac:dyDescent="0.25">
      <c r="A15" s="33" t="s">
        <v>208</v>
      </c>
      <c r="B15" s="34">
        <v>124383</v>
      </c>
      <c r="C15" s="98">
        <f t="shared" si="0"/>
        <v>903.13346574503635</v>
      </c>
      <c r="D15" s="10">
        <f t="shared" si="1"/>
        <v>56167.224934882426</v>
      </c>
    </row>
    <row r="16" spans="1:9" x14ac:dyDescent="0.25">
      <c r="A16" s="33" t="s">
        <v>189</v>
      </c>
      <c r="B16" s="34">
        <v>1014046</v>
      </c>
      <c r="C16" s="98">
        <f t="shared" si="0"/>
        <v>903.13346574503635</v>
      </c>
      <c r="D16" s="10">
        <f t="shared" si="1"/>
        <v>457909.43920244556</v>
      </c>
    </row>
    <row r="17" spans="1:4" x14ac:dyDescent="0.25">
      <c r="A17" s="33" t="s">
        <v>212</v>
      </c>
      <c r="B17" s="34">
        <v>26743</v>
      </c>
      <c r="C17" s="98">
        <f t="shared" si="0"/>
        <v>903.13346574503635</v>
      </c>
      <c r="D17" s="10">
        <f t="shared" si="1"/>
        <v>12076.249137209754</v>
      </c>
    </row>
    <row r="18" spans="1:4" x14ac:dyDescent="0.25">
      <c r="A18" s="33" t="s">
        <v>213</v>
      </c>
      <c r="B18" s="34">
        <v>11019</v>
      </c>
      <c r="C18" s="98">
        <f t="shared" si="0"/>
        <v>903.13346574503635</v>
      </c>
      <c r="D18" s="10">
        <f t="shared" si="1"/>
        <v>4975.813829522278</v>
      </c>
    </row>
    <row r="19" spans="1:4" x14ac:dyDescent="0.25">
      <c r="A19" s="33" t="s">
        <v>177</v>
      </c>
      <c r="B19" s="34">
        <v>65386</v>
      </c>
      <c r="C19" s="98">
        <f t="shared" si="0"/>
        <v>903.13346574503635</v>
      </c>
      <c r="D19" s="10">
        <f t="shared" si="1"/>
        <v>29526.142395602474</v>
      </c>
    </row>
    <row r="20" spans="1:4" x14ac:dyDescent="0.25">
      <c r="A20" s="33" t="s">
        <v>215</v>
      </c>
      <c r="B20" s="34">
        <v>1133</v>
      </c>
      <c r="C20" s="98">
        <f t="shared" si="0"/>
        <v>903.13346574503635</v>
      </c>
      <c r="D20" s="10">
        <f t="shared" si="1"/>
        <v>511.6251083445631</v>
      </c>
    </row>
    <row r="21" spans="1:4" x14ac:dyDescent="0.25">
      <c r="A21" s="33" t="s">
        <v>217</v>
      </c>
      <c r="B21" s="34">
        <v>502043</v>
      </c>
      <c r="C21" s="98">
        <f t="shared" si="0"/>
        <v>903.13346574503635</v>
      </c>
      <c r="D21" s="10">
        <f t="shared" si="1"/>
        <v>226705.91727151762</v>
      </c>
    </row>
    <row r="22" spans="1:4" x14ac:dyDescent="0.25">
      <c r="A22" s="33" t="s">
        <v>179</v>
      </c>
      <c r="B22" s="34">
        <v>336342</v>
      </c>
      <c r="C22" s="98">
        <f t="shared" si="0"/>
        <v>903.13346574503635</v>
      </c>
      <c r="D22" s="10">
        <f t="shared" si="1"/>
        <v>151880.8580678085</v>
      </c>
    </row>
    <row r="23" spans="1:4" x14ac:dyDescent="0.25">
      <c r="A23" s="33" t="s">
        <v>219</v>
      </c>
      <c r="B23" s="34">
        <v>222630</v>
      </c>
      <c r="C23" s="98">
        <f t="shared" si="0"/>
        <v>903.13346574503635</v>
      </c>
      <c r="D23" s="10">
        <f t="shared" si="1"/>
        <v>100532.30173940872</v>
      </c>
    </row>
    <row r="24" spans="1:4" x14ac:dyDescent="0.25">
      <c r="A24" s="33" t="s">
        <v>221</v>
      </c>
      <c r="B24" s="34">
        <v>75</v>
      </c>
      <c r="C24" s="98">
        <f t="shared" si="0"/>
        <v>903.13346574503635</v>
      </c>
      <c r="D24" s="10">
        <f t="shared" si="1"/>
        <v>33.867504965438862</v>
      </c>
    </row>
    <row r="25" spans="1:4" x14ac:dyDescent="0.25">
      <c r="A25" s="33" t="s">
        <v>223</v>
      </c>
      <c r="B25" s="34">
        <v>42962</v>
      </c>
      <c r="C25" s="98">
        <f t="shared" si="0"/>
        <v>903.13346574503635</v>
      </c>
      <c r="D25" s="10">
        <f t="shared" si="1"/>
        <v>19400.209977669128</v>
      </c>
    </row>
    <row r="26" spans="1:4" x14ac:dyDescent="0.25">
      <c r="A26" s="33" t="s">
        <v>226</v>
      </c>
      <c r="B26" s="34">
        <v>36506</v>
      </c>
      <c r="C26" s="98">
        <f t="shared" si="0"/>
        <v>903.13346574503635</v>
      </c>
      <c r="D26" s="10">
        <f t="shared" si="1"/>
        <v>16484.895150244149</v>
      </c>
    </row>
    <row r="27" spans="1:4" x14ac:dyDescent="0.25">
      <c r="A27" s="33" t="s">
        <v>230</v>
      </c>
      <c r="B27" s="34">
        <v>561582</v>
      </c>
      <c r="C27" s="98">
        <f t="shared" si="0"/>
        <v>903.13346574503635</v>
      </c>
      <c r="D27" s="10">
        <f t="shared" si="1"/>
        <v>253591.7489800145</v>
      </c>
    </row>
    <row r="28" spans="1:4" x14ac:dyDescent="0.25">
      <c r="A28" s="33" t="s">
        <v>231</v>
      </c>
      <c r="B28" s="34">
        <v>25</v>
      </c>
      <c r="C28" s="98">
        <f t="shared" si="0"/>
        <v>903.13346574503635</v>
      </c>
      <c r="D28" s="10">
        <f t="shared" si="1"/>
        <v>11.289168321812955</v>
      </c>
    </row>
    <row r="29" spans="1:4" x14ac:dyDescent="0.25">
      <c r="A29" s="33" t="s">
        <v>232</v>
      </c>
      <c r="B29" s="34">
        <v>10082</v>
      </c>
      <c r="C29" s="98">
        <f t="shared" si="0"/>
        <v>903.13346574503635</v>
      </c>
      <c r="D29" s="10">
        <f t="shared" si="1"/>
        <v>4552.6958008207275</v>
      </c>
    </row>
    <row r="30" spans="1:4" x14ac:dyDescent="0.25">
      <c r="A30" s="33" t="s">
        <v>235</v>
      </c>
      <c r="B30" s="34">
        <v>2400</v>
      </c>
      <c r="C30" s="98">
        <f t="shared" si="0"/>
        <v>903.13346574503635</v>
      </c>
      <c r="D30" s="10">
        <f t="shared" si="1"/>
        <v>1083.7601588940436</v>
      </c>
    </row>
    <row r="31" spans="1:4" x14ac:dyDescent="0.25">
      <c r="A31" s="33" t="s">
        <v>236</v>
      </c>
      <c r="B31" s="34">
        <v>1278611</v>
      </c>
      <c r="C31" s="98">
        <f t="shared" si="0"/>
        <v>903.13346574503635</v>
      </c>
      <c r="D31" s="10">
        <f t="shared" si="1"/>
        <v>577378.19188486342</v>
      </c>
    </row>
    <row r="32" spans="1:4" x14ac:dyDescent="0.25">
      <c r="A32" s="33" t="s">
        <v>243</v>
      </c>
      <c r="B32" s="34">
        <v>269356</v>
      </c>
      <c r="C32" s="98">
        <f t="shared" si="0"/>
        <v>903.13346574503635</v>
      </c>
      <c r="D32" s="10">
        <f t="shared" si="1"/>
        <v>121632.20889960999</v>
      </c>
    </row>
    <row r="33" spans="1:4" x14ac:dyDescent="0.25">
      <c r="A33" s="33" t="s">
        <v>180</v>
      </c>
      <c r="B33" s="34">
        <v>1078306</v>
      </c>
      <c r="C33" s="98">
        <f t="shared" si="0"/>
        <v>903.13346574503635</v>
      </c>
      <c r="D33" s="10">
        <f t="shared" si="1"/>
        <v>486927.1174568336</v>
      </c>
    </row>
    <row r="34" spans="1:4" x14ac:dyDescent="0.25">
      <c r="A34" s="33" t="s">
        <v>246</v>
      </c>
      <c r="B34" s="34">
        <v>448</v>
      </c>
      <c r="C34" s="98">
        <f t="shared" si="0"/>
        <v>903.13346574503635</v>
      </c>
      <c r="D34" s="10">
        <f t="shared" si="1"/>
        <v>202.30189632688814</v>
      </c>
    </row>
    <row r="35" spans="1:4" x14ac:dyDescent="0.25">
      <c r="A35" s="33" t="s">
        <v>248</v>
      </c>
      <c r="B35" s="34">
        <v>113935</v>
      </c>
      <c r="C35" s="98">
        <f t="shared" si="0"/>
        <v>903.13346574503635</v>
      </c>
      <c r="D35" s="10">
        <f t="shared" si="1"/>
        <v>51449.255709830359</v>
      </c>
    </row>
    <row r="36" spans="1:4" x14ac:dyDescent="0.25">
      <c r="A36" s="33" t="s">
        <v>249</v>
      </c>
      <c r="B36" s="34">
        <v>800</v>
      </c>
      <c r="C36" s="98">
        <f t="shared" si="0"/>
        <v>903.13346574503635</v>
      </c>
      <c r="D36" s="10">
        <f t="shared" si="1"/>
        <v>361.25338629801456</v>
      </c>
    </row>
    <row r="37" spans="1:4" x14ac:dyDescent="0.25">
      <c r="A37" s="33" t="s">
        <v>250</v>
      </c>
      <c r="B37" s="34">
        <v>800</v>
      </c>
      <c r="C37" s="98">
        <f t="shared" si="0"/>
        <v>903.13346574503635</v>
      </c>
      <c r="D37" s="10">
        <f t="shared" si="1"/>
        <v>361.25338629801456</v>
      </c>
    </row>
    <row r="38" spans="1:4" x14ac:dyDescent="0.25">
      <c r="A38" s="33" t="s">
        <v>251</v>
      </c>
      <c r="B38" s="34">
        <v>4</v>
      </c>
      <c r="C38" s="98">
        <f t="shared" si="0"/>
        <v>903.13346574503635</v>
      </c>
      <c r="D38" s="10">
        <f t="shared" si="1"/>
        <v>1.8062669314900728</v>
      </c>
    </row>
    <row r="39" spans="1:4" x14ac:dyDescent="0.25">
      <c r="A39" s="33" t="s">
        <v>252</v>
      </c>
      <c r="B39" s="34">
        <v>3418</v>
      </c>
      <c r="C39" s="98">
        <f t="shared" si="0"/>
        <v>903.13346574503635</v>
      </c>
      <c r="D39" s="10">
        <f t="shared" si="1"/>
        <v>1543.4550929582672</v>
      </c>
    </row>
    <row r="40" spans="1:4" x14ac:dyDescent="0.25">
      <c r="A40" s="33" t="s">
        <v>254</v>
      </c>
      <c r="B40" s="34">
        <v>1487</v>
      </c>
      <c r="C40" s="98">
        <f t="shared" si="0"/>
        <v>903.13346574503635</v>
      </c>
      <c r="D40" s="10">
        <f t="shared" si="1"/>
        <v>671.47973178143445</v>
      </c>
    </row>
    <row r="41" spans="1:4" x14ac:dyDescent="0.25">
      <c r="A41" s="33" t="s">
        <v>256</v>
      </c>
      <c r="B41" s="34">
        <v>1179</v>
      </c>
      <c r="C41" s="98">
        <f t="shared" si="0"/>
        <v>903.13346574503635</v>
      </c>
      <c r="D41" s="10">
        <f t="shared" si="1"/>
        <v>532.39717805669886</v>
      </c>
    </row>
    <row r="42" spans="1:4" x14ac:dyDescent="0.25">
      <c r="A42" s="33" t="s">
        <v>257</v>
      </c>
      <c r="B42" s="34">
        <v>76562</v>
      </c>
      <c r="C42" s="98">
        <f t="shared" si="0"/>
        <v>903.13346574503635</v>
      </c>
      <c r="D42" s="10">
        <f t="shared" si="1"/>
        <v>34572.852202185735</v>
      </c>
    </row>
    <row r="43" spans="1:4" x14ac:dyDescent="0.25">
      <c r="A43" s="33" t="s">
        <v>258</v>
      </c>
      <c r="B43" s="34">
        <v>70000</v>
      </c>
      <c r="C43" s="98">
        <f t="shared" si="0"/>
        <v>903.13346574503635</v>
      </c>
      <c r="D43" s="10">
        <f t="shared" si="1"/>
        <v>31609.671301076272</v>
      </c>
    </row>
    <row r="44" spans="1:4" x14ac:dyDescent="0.25">
      <c r="A44" s="33" t="s">
        <v>261</v>
      </c>
      <c r="B44" s="34">
        <v>24419</v>
      </c>
      <c r="C44" s="98">
        <f t="shared" si="0"/>
        <v>903.13346574503635</v>
      </c>
      <c r="D44" s="10">
        <f t="shared" si="1"/>
        <v>11026.80805001402</v>
      </c>
    </row>
    <row r="45" spans="1:4" x14ac:dyDescent="0.25">
      <c r="A45" s="33" t="s">
        <v>183</v>
      </c>
      <c r="B45" s="34">
        <v>231003</v>
      </c>
      <c r="C45" s="98">
        <f t="shared" si="0"/>
        <v>903.13346574503635</v>
      </c>
      <c r="D45" s="10">
        <f t="shared" si="1"/>
        <v>104313.26999375032</v>
      </c>
    </row>
    <row r="46" spans="1:4" x14ac:dyDescent="0.25">
      <c r="A46" s="33" t="s">
        <v>264</v>
      </c>
      <c r="B46" s="34">
        <v>23628</v>
      </c>
      <c r="C46" s="98">
        <f t="shared" si="0"/>
        <v>903.13346574503635</v>
      </c>
      <c r="D46" s="10">
        <f t="shared" si="1"/>
        <v>10669.618764311859</v>
      </c>
    </row>
    <row r="47" spans="1:4" x14ac:dyDescent="0.25">
      <c r="A47" s="33" t="s">
        <v>266</v>
      </c>
      <c r="B47" s="34">
        <v>3654</v>
      </c>
      <c r="C47" s="98">
        <f t="shared" si="0"/>
        <v>903.13346574503635</v>
      </c>
      <c r="D47" s="10">
        <f t="shared" si="1"/>
        <v>1650.0248419161815</v>
      </c>
    </row>
    <row r="48" spans="1:4" x14ac:dyDescent="0.25">
      <c r="A48" s="33" t="s">
        <v>267</v>
      </c>
      <c r="B48" s="34">
        <v>451</v>
      </c>
      <c r="C48" s="98">
        <f t="shared" si="0"/>
        <v>903.13346574503635</v>
      </c>
      <c r="D48" s="10">
        <f t="shared" si="1"/>
        <v>203.65659652550571</v>
      </c>
    </row>
    <row r="49" spans="1:4" x14ac:dyDescent="0.25">
      <c r="A49" s="33" t="s">
        <v>184</v>
      </c>
      <c r="B49" s="34">
        <v>246052</v>
      </c>
      <c r="C49" s="98">
        <f t="shared" si="0"/>
        <v>903.13346574503635</v>
      </c>
      <c r="D49" s="10">
        <f t="shared" si="1"/>
        <v>111108.89775674885</v>
      </c>
    </row>
    <row r="50" spans="1:4" x14ac:dyDescent="0.25">
      <c r="A50" s="33" t="s">
        <v>185</v>
      </c>
      <c r="B50" s="34">
        <v>182238</v>
      </c>
      <c r="C50" s="98">
        <f t="shared" si="0"/>
        <v>903.13346574503635</v>
      </c>
      <c r="D50" s="10">
        <f t="shared" si="1"/>
        <v>82292.618265221972</v>
      </c>
    </row>
    <row r="51" spans="1:4" x14ac:dyDescent="0.25">
      <c r="A51" s="33" t="s">
        <v>272</v>
      </c>
      <c r="B51" s="34">
        <v>176041</v>
      </c>
      <c r="C51" s="98">
        <f t="shared" si="0"/>
        <v>903.13346574503635</v>
      </c>
      <c r="D51" s="10">
        <f t="shared" si="1"/>
        <v>79494.259221610977</v>
      </c>
    </row>
    <row r="52" spans="1:4" x14ac:dyDescent="0.25">
      <c r="A52" s="33" t="s">
        <v>273</v>
      </c>
      <c r="B52" s="34">
        <v>62658</v>
      </c>
      <c r="C52" s="98">
        <f t="shared" si="0"/>
        <v>903.13346574503635</v>
      </c>
      <c r="D52" s="10">
        <f t="shared" si="1"/>
        <v>28294.268348326244</v>
      </c>
    </row>
    <row r="53" spans="1:4" x14ac:dyDescent="0.25">
      <c r="A53" s="33" t="s">
        <v>186</v>
      </c>
      <c r="B53" s="34">
        <v>200033</v>
      </c>
      <c r="C53" s="98">
        <f t="shared" si="0"/>
        <v>903.13346574503635</v>
      </c>
      <c r="D53" s="10">
        <f t="shared" si="1"/>
        <v>90328.24827668842</v>
      </c>
    </row>
    <row r="54" spans="1:4" x14ac:dyDescent="0.25">
      <c r="A54" s="33" t="s">
        <v>276</v>
      </c>
      <c r="B54" s="34">
        <v>109330</v>
      </c>
      <c r="C54" s="98">
        <f t="shared" si="0"/>
        <v>903.13346574503635</v>
      </c>
      <c r="D54" s="10">
        <f t="shared" si="1"/>
        <v>49369.790904952417</v>
      </c>
    </row>
    <row r="55" spans="1:4" x14ac:dyDescent="0.25">
      <c r="A55" s="33" t="s">
        <v>278</v>
      </c>
      <c r="B55" s="34">
        <v>32812</v>
      </c>
      <c r="C55" s="98">
        <f t="shared" si="0"/>
        <v>903.13346574503635</v>
      </c>
      <c r="D55" s="10">
        <f t="shared" si="1"/>
        <v>14816.807639013066</v>
      </c>
    </row>
    <row r="56" spans="1:4" x14ac:dyDescent="0.25">
      <c r="A56" s="33" t="s">
        <v>279</v>
      </c>
      <c r="B56" s="34">
        <v>457673</v>
      </c>
      <c r="C56" s="98">
        <f t="shared" si="0"/>
        <v>903.13346574503635</v>
      </c>
      <c r="D56" s="10">
        <f t="shared" si="1"/>
        <v>206669.90133396402</v>
      </c>
    </row>
    <row r="57" spans="1:4" x14ac:dyDescent="0.25">
      <c r="A57" s="33" t="s">
        <v>188</v>
      </c>
      <c r="B57" s="34">
        <v>1404952</v>
      </c>
      <c r="C57" s="98">
        <f t="shared" si="0"/>
        <v>903.13346574503635</v>
      </c>
      <c r="D57" s="10">
        <f t="shared" si="1"/>
        <v>634429.58448271011</v>
      </c>
    </row>
    <row r="58" spans="1:4" x14ac:dyDescent="0.25">
      <c r="A58" s="33" t="s">
        <v>280</v>
      </c>
      <c r="B58" s="34">
        <v>200</v>
      </c>
      <c r="C58" s="98">
        <f t="shared" si="0"/>
        <v>903.13346574503635</v>
      </c>
      <c r="D58" s="10">
        <f t="shared" si="1"/>
        <v>90.31334657450364</v>
      </c>
    </row>
    <row r="59" spans="1:4" x14ac:dyDescent="0.25">
      <c r="A59" s="33" t="s">
        <v>281</v>
      </c>
      <c r="B59" s="34">
        <v>-200</v>
      </c>
      <c r="C59" s="98">
        <f t="shared" si="0"/>
        <v>903.13346574503635</v>
      </c>
      <c r="D59" s="10">
        <f t="shared" si="1"/>
        <v>-90.31334657450364</v>
      </c>
    </row>
    <row r="60" spans="1:4" x14ac:dyDescent="0.25">
      <c r="A60" s="33" t="s">
        <v>283</v>
      </c>
      <c r="B60" s="34">
        <v>124</v>
      </c>
      <c r="C60" s="98">
        <f t="shared" si="0"/>
        <v>903.13346574503635</v>
      </c>
      <c r="D60" s="10">
        <f t="shared" si="1"/>
        <v>55.994274876192257</v>
      </c>
    </row>
    <row r="61" spans="1:4" x14ac:dyDescent="0.25">
      <c r="A61" s="33" t="s">
        <v>284</v>
      </c>
      <c r="B61" s="34">
        <v>3343</v>
      </c>
      <c r="C61" s="98">
        <f t="shared" si="0"/>
        <v>903.13346574503635</v>
      </c>
      <c r="D61" s="10">
        <f t="shared" si="1"/>
        <v>1509.5875879928283</v>
      </c>
    </row>
    <row r="62" spans="1:4" x14ac:dyDescent="0.25">
      <c r="A62" s="33" t="s">
        <v>175</v>
      </c>
      <c r="B62" s="34">
        <v>35599</v>
      </c>
      <c r="C62" s="98">
        <f t="shared" si="0"/>
        <v>903.13346574503635</v>
      </c>
      <c r="D62" s="10">
        <f t="shared" si="1"/>
        <v>16075.324123528775</v>
      </c>
    </row>
    <row r="63" spans="1:4" x14ac:dyDescent="0.25">
      <c r="A63" s="33" t="s">
        <v>181</v>
      </c>
      <c r="B63" s="34">
        <v>413000</v>
      </c>
      <c r="C63" s="98">
        <f t="shared" si="0"/>
        <v>903.13346574503635</v>
      </c>
      <c r="D63" s="10">
        <f t="shared" si="1"/>
        <v>186497.06067635</v>
      </c>
    </row>
    <row r="64" spans="1:4" x14ac:dyDescent="0.25">
      <c r="A64" s="33" t="s">
        <v>175</v>
      </c>
      <c r="B64" s="34">
        <v>-35375</v>
      </c>
      <c r="C64" s="98">
        <f t="shared" si="0"/>
        <v>903.13346574503635</v>
      </c>
      <c r="D64" s="10">
        <f t="shared" si="1"/>
        <v>-15974.173175365331</v>
      </c>
    </row>
    <row r="65" spans="1:4" x14ac:dyDescent="0.25">
      <c r="A65" s="33" t="s">
        <v>178</v>
      </c>
      <c r="B65" s="34">
        <v>42716.544999999998</v>
      </c>
      <c r="C65" s="98">
        <f t="shared" si="0"/>
        <v>903.13346574503635</v>
      </c>
      <c r="D65" s="10">
        <f t="shared" si="1"/>
        <v>19289.370665251899</v>
      </c>
    </row>
    <row r="66" spans="1:4" x14ac:dyDescent="0.25">
      <c r="A66" s="33" t="s">
        <v>181</v>
      </c>
      <c r="B66" s="34">
        <v>-412995</v>
      </c>
      <c r="C66" s="98">
        <f t="shared" si="0"/>
        <v>903.13346574503635</v>
      </c>
      <c r="D66" s="10">
        <f t="shared" si="1"/>
        <v>-186494.80284268563</v>
      </c>
    </row>
    <row r="67" spans="1:4" x14ac:dyDescent="0.25">
      <c r="A67" s="33" t="s">
        <v>194</v>
      </c>
      <c r="B67" s="34">
        <v>-37126</v>
      </c>
      <c r="C67" s="98">
        <f t="shared" si="0"/>
        <v>903.13346574503635</v>
      </c>
      <c r="D67" s="10">
        <f t="shared" si="1"/>
        <v>-16764.866524625111</v>
      </c>
    </row>
    <row r="68" spans="1:4" x14ac:dyDescent="0.25">
      <c r="A68" s="33" t="s">
        <v>195</v>
      </c>
      <c r="B68" s="34">
        <v>-2400</v>
      </c>
      <c r="C68" s="98">
        <f t="shared" si="0"/>
        <v>903.13346574503635</v>
      </c>
      <c r="D68" s="10">
        <f t="shared" si="1"/>
        <v>-1083.7601588940436</v>
      </c>
    </row>
    <row r="69" spans="1:4" x14ac:dyDescent="0.25">
      <c r="A69" s="33" t="s">
        <v>198</v>
      </c>
      <c r="B69" s="34">
        <v>-18302</v>
      </c>
      <c r="C69" s="98">
        <f t="shared" ref="C69:C124" si="2">IF(B69&lt;&gt;0,$H$1,"")</f>
        <v>903.13346574503635</v>
      </c>
      <c r="D69" s="10">
        <f t="shared" ref="D69:D124" si="3">(+B69*C69)/2000</f>
        <v>-8264.5743450328282</v>
      </c>
    </row>
    <row r="70" spans="1:4" x14ac:dyDescent="0.25">
      <c r="A70" s="33" t="s">
        <v>200</v>
      </c>
      <c r="B70" s="34">
        <v>2877267</v>
      </c>
      <c r="C70" s="98">
        <f t="shared" si="2"/>
        <v>903.13346574503635</v>
      </c>
      <c r="D70" s="10">
        <f t="shared" si="3"/>
        <v>1299278.0587919119</v>
      </c>
    </row>
    <row r="71" spans="1:4" x14ac:dyDescent="0.25">
      <c r="A71" s="33" t="s">
        <v>201</v>
      </c>
      <c r="B71" s="34">
        <v>-97731</v>
      </c>
      <c r="C71" s="98">
        <f t="shared" si="2"/>
        <v>903.13346574503635</v>
      </c>
      <c r="D71" s="10">
        <f t="shared" si="3"/>
        <v>-44132.068370364068</v>
      </c>
    </row>
    <row r="72" spans="1:4" x14ac:dyDescent="0.25">
      <c r="A72" s="33" t="s">
        <v>175</v>
      </c>
      <c r="B72" s="34">
        <v>-147151</v>
      </c>
      <c r="C72" s="98">
        <f t="shared" si="2"/>
        <v>903.13346574503635</v>
      </c>
      <c r="D72" s="10">
        <f t="shared" si="3"/>
        <v>-66448.496308923917</v>
      </c>
    </row>
    <row r="73" spans="1:4" x14ac:dyDescent="0.25">
      <c r="A73" s="33" t="s">
        <v>202</v>
      </c>
      <c r="B73" s="34">
        <v>-57</v>
      </c>
      <c r="C73" s="98">
        <f t="shared" si="2"/>
        <v>903.13346574503635</v>
      </c>
      <c r="D73" s="10">
        <f t="shared" si="3"/>
        <v>-25.739303773733536</v>
      </c>
    </row>
    <row r="74" spans="1:4" x14ac:dyDescent="0.25">
      <c r="A74" s="33" t="s">
        <v>203</v>
      </c>
      <c r="B74" s="34">
        <v>-2000</v>
      </c>
      <c r="C74" s="98">
        <f t="shared" si="2"/>
        <v>903.13346574503635</v>
      </c>
      <c r="D74" s="10">
        <f t="shared" si="3"/>
        <v>-903.13346574503635</v>
      </c>
    </row>
    <row r="75" spans="1:4" x14ac:dyDescent="0.25">
      <c r="A75" s="33" t="s">
        <v>207</v>
      </c>
      <c r="B75" s="34">
        <v>-142467</v>
      </c>
      <c r="C75" s="98">
        <f t="shared" si="2"/>
        <v>903.13346574503635</v>
      </c>
      <c r="D75" s="10">
        <f t="shared" si="3"/>
        <v>-64333.357732149052</v>
      </c>
    </row>
    <row r="76" spans="1:4" x14ac:dyDescent="0.25">
      <c r="A76" s="33" t="s">
        <v>176</v>
      </c>
      <c r="B76" s="34">
        <v>-311820</v>
      </c>
      <c r="C76" s="98">
        <f t="shared" si="2"/>
        <v>903.13346574503635</v>
      </c>
      <c r="D76" s="10">
        <f t="shared" si="3"/>
        <v>-140807.53864430863</v>
      </c>
    </row>
    <row r="77" spans="1:4" x14ac:dyDescent="0.25">
      <c r="A77" s="33" t="s">
        <v>208</v>
      </c>
      <c r="B77" s="34">
        <v>-6435</v>
      </c>
      <c r="C77" s="98">
        <f t="shared" si="2"/>
        <v>903.13346574503635</v>
      </c>
      <c r="D77" s="10">
        <f t="shared" si="3"/>
        <v>-2905.8319260346543</v>
      </c>
    </row>
    <row r="78" spans="1:4" x14ac:dyDescent="0.25">
      <c r="A78" s="33" t="s">
        <v>189</v>
      </c>
      <c r="B78" s="34">
        <v>-93176</v>
      </c>
      <c r="C78" s="98">
        <f t="shared" si="2"/>
        <v>903.13346574503635</v>
      </c>
      <c r="D78" s="10">
        <f t="shared" si="3"/>
        <v>-42075.181902129756</v>
      </c>
    </row>
    <row r="79" spans="1:4" x14ac:dyDescent="0.25">
      <c r="A79" s="33" t="s">
        <v>212</v>
      </c>
      <c r="B79" s="34">
        <v>-13840</v>
      </c>
      <c r="C79" s="98">
        <f t="shared" si="2"/>
        <v>903.13346574503635</v>
      </c>
      <c r="D79" s="10">
        <f t="shared" si="3"/>
        <v>-6249.6835829556521</v>
      </c>
    </row>
    <row r="80" spans="1:4" x14ac:dyDescent="0.25">
      <c r="A80" s="33" t="s">
        <v>213</v>
      </c>
      <c r="B80" s="34">
        <v>-5387</v>
      </c>
      <c r="C80" s="98">
        <f t="shared" si="2"/>
        <v>903.13346574503635</v>
      </c>
      <c r="D80" s="10">
        <f t="shared" si="3"/>
        <v>-2432.5899899842552</v>
      </c>
    </row>
    <row r="81" spans="1:4" x14ac:dyDescent="0.25">
      <c r="A81" s="33" t="s">
        <v>177</v>
      </c>
      <c r="B81" s="34">
        <v>-22185</v>
      </c>
      <c r="C81" s="98">
        <f t="shared" si="2"/>
        <v>903.13346574503635</v>
      </c>
      <c r="D81" s="10">
        <f t="shared" si="3"/>
        <v>-10018.007968776816</v>
      </c>
    </row>
    <row r="82" spans="1:4" x14ac:dyDescent="0.25">
      <c r="A82" s="33" t="s">
        <v>215</v>
      </c>
      <c r="B82" s="34">
        <v>-1299</v>
      </c>
      <c r="C82" s="98">
        <f t="shared" si="2"/>
        <v>903.13346574503635</v>
      </c>
      <c r="D82" s="10">
        <f t="shared" si="3"/>
        <v>-586.58518600140121</v>
      </c>
    </row>
    <row r="83" spans="1:4" x14ac:dyDescent="0.25">
      <c r="A83" s="33" t="s">
        <v>217</v>
      </c>
      <c r="B83" s="34">
        <v>-242964</v>
      </c>
      <c r="C83" s="98">
        <f t="shared" si="2"/>
        <v>903.13346574503635</v>
      </c>
      <c r="D83" s="10">
        <f t="shared" si="3"/>
        <v>-109714.4596856385</v>
      </c>
    </row>
    <row r="84" spans="1:4" x14ac:dyDescent="0.25">
      <c r="A84" s="33" t="s">
        <v>179</v>
      </c>
      <c r="B84" s="34">
        <v>-1410</v>
      </c>
      <c r="C84" s="98">
        <f t="shared" si="2"/>
        <v>903.13346574503635</v>
      </c>
      <c r="D84" s="10">
        <f t="shared" si="3"/>
        <v>-636.70909335025067</v>
      </c>
    </row>
    <row r="85" spans="1:4" x14ac:dyDescent="0.25">
      <c r="A85" s="33" t="s">
        <v>219</v>
      </c>
      <c r="B85" s="34">
        <v>-34355</v>
      </c>
      <c r="C85" s="98">
        <f t="shared" si="2"/>
        <v>903.13346574503635</v>
      </c>
      <c r="D85" s="10">
        <f t="shared" si="3"/>
        <v>-15513.575107835362</v>
      </c>
    </row>
    <row r="86" spans="1:4" x14ac:dyDescent="0.25">
      <c r="A86" s="33" t="s">
        <v>221</v>
      </c>
      <c r="B86" s="34">
        <v>-225</v>
      </c>
      <c r="C86" s="98">
        <f t="shared" si="2"/>
        <v>903.13346574503635</v>
      </c>
      <c r="D86" s="10">
        <f t="shared" si="3"/>
        <v>-101.60251489631659</v>
      </c>
    </row>
    <row r="87" spans="1:4" x14ac:dyDescent="0.25">
      <c r="A87" s="33" t="s">
        <v>223</v>
      </c>
      <c r="B87" s="34">
        <v>-17869</v>
      </c>
      <c r="C87" s="98">
        <f t="shared" si="2"/>
        <v>903.13346574503635</v>
      </c>
      <c r="D87" s="10">
        <f t="shared" si="3"/>
        <v>-8069.0459496990279</v>
      </c>
    </row>
    <row r="88" spans="1:4" x14ac:dyDescent="0.25">
      <c r="A88" s="33" t="s">
        <v>190</v>
      </c>
      <c r="B88" s="34">
        <v>-2800</v>
      </c>
      <c r="C88" s="98">
        <f t="shared" si="2"/>
        <v>903.13346574503635</v>
      </c>
      <c r="D88" s="10">
        <f t="shared" si="3"/>
        <v>-1264.3868520430508</v>
      </c>
    </row>
    <row r="89" spans="1:4" x14ac:dyDescent="0.25">
      <c r="A89" s="33" t="s">
        <v>290</v>
      </c>
      <c r="B89" s="34">
        <v>-56236</v>
      </c>
      <c r="C89" s="98">
        <f t="shared" si="2"/>
        <v>903.13346574503635</v>
      </c>
      <c r="D89" s="10">
        <f t="shared" si="3"/>
        <v>-25394.306789818933</v>
      </c>
    </row>
    <row r="90" spans="1:4" x14ac:dyDescent="0.25">
      <c r="A90" s="33" t="s">
        <v>226</v>
      </c>
      <c r="B90" s="34">
        <v>-11925</v>
      </c>
      <c r="C90" s="98">
        <f t="shared" si="2"/>
        <v>903.13346574503635</v>
      </c>
      <c r="D90" s="10">
        <f t="shared" si="3"/>
        <v>-5384.9332895047792</v>
      </c>
    </row>
    <row r="91" spans="1:4" x14ac:dyDescent="0.25">
      <c r="A91" s="33" t="s">
        <v>230</v>
      </c>
      <c r="B91" s="34">
        <v>-541878</v>
      </c>
      <c r="C91" s="98">
        <f t="shared" si="2"/>
        <v>903.13346574503635</v>
      </c>
      <c r="D91" s="10">
        <f t="shared" si="3"/>
        <v>-244694.07807549441</v>
      </c>
    </row>
    <row r="92" spans="1:4" x14ac:dyDescent="0.25">
      <c r="A92" s="33" t="s">
        <v>232</v>
      </c>
      <c r="B92" s="34">
        <v>-25835</v>
      </c>
      <c r="C92" s="98">
        <f t="shared" si="2"/>
        <v>903.13346574503635</v>
      </c>
      <c r="D92" s="10">
        <f t="shared" si="3"/>
        <v>-11666.226543761506</v>
      </c>
    </row>
    <row r="93" spans="1:4" x14ac:dyDescent="0.25">
      <c r="A93" s="33" t="s">
        <v>235</v>
      </c>
      <c r="B93" s="34">
        <v>-2800</v>
      </c>
      <c r="C93" s="98">
        <f t="shared" si="2"/>
        <v>903.13346574503635</v>
      </c>
      <c r="D93" s="10">
        <f t="shared" si="3"/>
        <v>-1264.3868520430508</v>
      </c>
    </row>
    <row r="94" spans="1:4" x14ac:dyDescent="0.25">
      <c r="A94" s="33" t="s">
        <v>236</v>
      </c>
      <c r="B94" s="34">
        <v>-52134</v>
      </c>
      <c r="C94" s="98">
        <f t="shared" si="2"/>
        <v>903.13346574503635</v>
      </c>
      <c r="D94" s="10">
        <f t="shared" si="3"/>
        <v>-23541.980051575862</v>
      </c>
    </row>
    <row r="95" spans="1:4" x14ac:dyDescent="0.25">
      <c r="A95" s="33" t="s">
        <v>180</v>
      </c>
      <c r="B95" s="34">
        <v>-310918</v>
      </c>
      <c r="C95" s="98">
        <f t="shared" si="2"/>
        <v>903.13346574503635</v>
      </c>
      <c r="D95" s="10">
        <f t="shared" si="3"/>
        <v>-140400.2254512576</v>
      </c>
    </row>
    <row r="96" spans="1:4" x14ac:dyDescent="0.25">
      <c r="A96" s="33" t="s">
        <v>246</v>
      </c>
      <c r="B96" s="34">
        <v>-6</v>
      </c>
      <c r="C96" s="98">
        <f t="shared" si="2"/>
        <v>903.13346574503635</v>
      </c>
      <c r="D96" s="10">
        <f t="shared" si="3"/>
        <v>-2.7094003972351093</v>
      </c>
    </row>
    <row r="97" spans="1:4" x14ac:dyDescent="0.25">
      <c r="A97" s="33" t="s">
        <v>248</v>
      </c>
      <c r="B97" s="34">
        <v>-2739</v>
      </c>
      <c r="C97" s="98">
        <f t="shared" si="2"/>
        <v>903.13346574503635</v>
      </c>
      <c r="D97" s="10">
        <f t="shared" si="3"/>
        <v>-1236.8412813378272</v>
      </c>
    </row>
    <row r="98" spans="1:4" x14ac:dyDescent="0.25">
      <c r="A98" s="33" t="s">
        <v>249</v>
      </c>
      <c r="B98" s="34">
        <v>-2800</v>
      </c>
      <c r="C98" s="98">
        <f t="shared" si="2"/>
        <v>903.13346574503635</v>
      </c>
      <c r="D98" s="10">
        <f t="shared" si="3"/>
        <v>-1264.3868520430508</v>
      </c>
    </row>
    <row r="99" spans="1:4" x14ac:dyDescent="0.25">
      <c r="A99" s="33" t="s">
        <v>250</v>
      </c>
      <c r="B99" s="34">
        <v>-7600</v>
      </c>
      <c r="C99" s="98">
        <f t="shared" si="2"/>
        <v>903.13346574503635</v>
      </c>
      <c r="D99" s="10">
        <f t="shared" si="3"/>
        <v>-3431.9071698311382</v>
      </c>
    </row>
    <row r="100" spans="1:4" x14ac:dyDescent="0.25">
      <c r="A100" s="33" t="s">
        <v>251</v>
      </c>
      <c r="B100" s="34">
        <v>-8404</v>
      </c>
      <c r="C100" s="98">
        <f t="shared" si="2"/>
        <v>903.13346574503635</v>
      </c>
      <c r="D100" s="10">
        <f t="shared" si="3"/>
        <v>-3794.966823060643</v>
      </c>
    </row>
    <row r="101" spans="1:4" x14ac:dyDescent="0.25">
      <c r="A101" s="33" t="s">
        <v>252</v>
      </c>
      <c r="B101" s="34">
        <v>-84493</v>
      </c>
      <c r="C101" s="98">
        <f t="shared" si="2"/>
        <v>903.13346574503635</v>
      </c>
      <c r="D101" s="10">
        <f t="shared" si="3"/>
        <v>-38154.22796059768</v>
      </c>
    </row>
    <row r="102" spans="1:4" x14ac:dyDescent="0.25">
      <c r="A102" s="33" t="s">
        <v>254</v>
      </c>
      <c r="B102" s="34">
        <v>-470</v>
      </c>
      <c r="C102" s="98">
        <f t="shared" si="2"/>
        <v>903.13346574503635</v>
      </c>
      <c r="D102" s="10">
        <f t="shared" si="3"/>
        <v>-212.23636445008356</v>
      </c>
    </row>
    <row r="103" spans="1:4" x14ac:dyDescent="0.25">
      <c r="A103" s="33" t="s">
        <v>256</v>
      </c>
      <c r="B103" s="34">
        <v>-430</v>
      </c>
      <c r="C103" s="98">
        <f t="shared" si="2"/>
        <v>903.13346574503635</v>
      </c>
      <c r="D103" s="10">
        <f t="shared" si="3"/>
        <v>-194.17369513518281</v>
      </c>
    </row>
    <row r="104" spans="1:4" x14ac:dyDescent="0.25">
      <c r="A104" s="33" t="s">
        <v>257</v>
      </c>
      <c r="B104" s="34">
        <v>-116892</v>
      </c>
      <c r="C104" s="98">
        <f t="shared" si="2"/>
        <v>903.13346574503635</v>
      </c>
      <c r="D104" s="10">
        <f t="shared" si="3"/>
        <v>-52784.538538934394</v>
      </c>
    </row>
    <row r="105" spans="1:4" x14ac:dyDescent="0.25">
      <c r="A105" s="33" t="s">
        <v>258</v>
      </c>
      <c r="B105" s="34">
        <v>-216530</v>
      </c>
      <c r="C105" s="98">
        <f t="shared" si="2"/>
        <v>903.13346574503635</v>
      </c>
      <c r="D105" s="10">
        <f t="shared" si="3"/>
        <v>-97777.744668886357</v>
      </c>
    </row>
    <row r="106" spans="1:4" x14ac:dyDescent="0.25">
      <c r="A106" s="33" t="s">
        <v>261</v>
      </c>
      <c r="B106" s="34">
        <v>-72993</v>
      </c>
      <c r="C106" s="98">
        <f t="shared" si="2"/>
        <v>903.13346574503635</v>
      </c>
      <c r="D106" s="10">
        <f t="shared" si="3"/>
        <v>-32961.210532563717</v>
      </c>
    </row>
    <row r="107" spans="1:4" x14ac:dyDescent="0.25">
      <c r="A107" s="33" t="s">
        <v>183</v>
      </c>
      <c r="B107" s="34">
        <v>-406530</v>
      </c>
      <c r="C107" s="98">
        <f t="shared" si="2"/>
        <v>903.13346574503635</v>
      </c>
      <c r="D107" s="10">
        <f t="shared" si="3"/>
        <v>-183575.4239146648</v>
      </c>
    </row>
    <row r="108" spans="1:4" x14ac:dyDescent="0.25">
      <c r="A108" s="33" t="s">
        <v>264</v>
      </c>
      <c r="B108" s="34">
        <v>-58846</v>
      </c>
      <c r="C108" s="98">
        <f t="shared" si="2"/>
        <v>903.13346574503635</v>
      </c>
      <c r="D108" s="10">
        <f t="shared" si="3"/>
        <v>-26572.895962616207</v>
      </c>
    </row>
    <row r="109" spans="1:4" x14ac:dyDescent="0.25">
      <c r="A109" s="33" t="s">
        <v>266</v>
      </c>
      <c r="B109" s="34">
        <v>-10011</v>
      </c>
      <c r="C109" s="98">
        <f t="shared" si="2"/>
        <v>903.13346574503635</v>
      </c>
      <c r="D109" s="10">
        <f t="shared" si="3"/>
        <v>-4520.6345627867795</v>
      </c>
    </row>
    <row r="110" spans="1:4" x14ac:dyDescent="0.25">
      <c r="A110" s="33" t="s">
        <v>267</v>
      </c>
      <c r="B110" s="34">
        <v>-29918</v>
      </c>
      <c r="C110" s="98">
        <f t="shared" si="2"/>
        <v>903.13346574503635</v>
      </c>
      <c r="D110" s="10">
        <f t="shared" si="3"/>
        <v>-13509.973514079998</v>
      </c>
    </row>
    <row r="111" spans="1:4" x14ac:dyDescent="0.25">
      <c r="A111" s="33" t="s">
        <v>184</v>
      </c>
      <c r="B111" s="34">
        <v>-46589</v>
      </c>
      <c r="C111" s="98">
        <f t="shared" si="2"/>
        <v>903.13346574503635</v>
      </c>
      <c r="D111" s="10">
        <f t="shared" si="3"/>
        <v>-21038.042517797749</v>
      </c>
    </row>
    <row r="112" spans="1:4" x14ac:dyDescent="0.25">
      <c r="A112" s="33" t="s">
        <v>185</v>
      </c>
      <c r="B112" s="34">
        <v>-299293</v>
      </c>
      <c r="C112" s="98">
        <f t="shared" si="2"/>
        <v>903.13346574503635</v>
      </c>
      <c r="D112" s="10">
        <f t="shared" si="3"/>
        <v>-135150.76218161458</v>
      </c>
    </row>
    <row r="113" spans="1:4" x14ac:dyDescent="0.25">
      <c r="A113" s="33" t="s">
        <v>270</v>
      </c>
      <c r="B113" s="34">
        <v>-1542</v>
      </c>
      <c r="C113" s="98">
        <f t="shared" si="2"/>
        <v>903.13346574503635</v>
      </c>
      <c r="D113" s="10">
        <f t="shared" si="3"/>
        <v>-696.31590208942305</v>
      </c>
    </row>
    <row r="114" spans="1:4" x14ac:dyDescent="0.25">
      <c r="A114" s="33" t="s">
        <v>272</v>
      </c>
      <c r="B114" s="34">
        <v>-9531</v>
      </c>
      <c r="C114" s="98">
        <f t="shared" si="2"/>
        <v>903.13346574503635</v>
      </c>
      <c r="D114" s="10">
        <f t="shared" si="3"/>
        <v>-4303.882531007971</v>
      </c>
    </row>
    <row r="115" spans="1:4" x14ac:dyDescent="0.25">
      <c r="A115" s="33" t="s">
        <v>273</v>
      </c>
      <c r="B115" s="34">
        <v>-20000</v>
      </c>
      <c r="C115" s="98">
        <f t="shared" si="2"/>
        <v>903.13346574503635</v>
      </c>
      <c r="D115" s="10">
        <f t="shared" si="3"/>
        <v>-9031.334657450363</v>
      </c>
    </row>
    <row r="116" spans="1:4" x14ac:dyDescent="0.25">
      <c r="A116" s="33" t="s">
        <v>186</v>
      </c>
      <c r="B116" s="34">
        <v>-19628</v>
      </c>
      <c r="C116" s="98">
        <f t="shared" si="2"/>
        <v>903.13346574503635</v>
      </c>
      <c r="D116" s="10">
        <f t="shared" si="3"/>
        <v>-8863.351832821787</v>
      </c>
    </row>
    <row r="117" spans="1:4" x14ac:dyDescent="0.25">
      <c r="A117" s="33" t="s">
        <v>276</v>
      </c>
      <c r="B117" s="34">
        <v>-67867</v>
      </c>
      <c r="C117" s="98">
        <f t="shared" si="2"/>
        <v>903.13346574503635</v>
      </c>
      <c r="D117" s="10">
        <f t="shared" si="3"/>
        <v>-30646.479459859191</v>
      </c>
    </row>
    <row r="118" spans="1:4" x14ac:dyDescent="0.25">
      <c r="A118" s="33" t="s">
        <v>278</v>
      </c>
      <c r="B118" s="34">
        <v>-36412</v>
      </c>
      <c r="C118" s="98">
        <f t="shared" si="2"/>
        <v>903.13346574503635</v>
      </c>
      <c r="D118" s="10">
        <f t="shared" si="3"/>
        <v>-16442.44787735413</v>
      </c>
    </row>
    <row r="119" spans="1:4" x14ac:dyDescent="0.25">
      <c r="A119" s="33" t="s">
        <v>279</v>
      </c>
      <c r="B119" s="34">
        <v>-34934</v>
      </c>
      <c r="C119" s="98">
        <f t="shared" si="2"/>
        <v>903.13346574503635</v>
      </c>
      <c r="D119" s="10">
        <f t="shared" si="3"/>
        <v>-15775.03224616855</v>
      </c>
    </row>
    <row r="120" spans="1:4" x14ac:dyDescent="0.25">
      <c r="A120" s="33" t="s">
        <v>188</v>
      </c>
      <c r="B120" s="34">
        <v>-443951</v>
      </c>
      <c r="C120" s="98">
        <f t="shared" si="2"/>
        <v>903.13346574503635</v>
      </c>
      <c r="D120" s="10">
        <f t="shared" si="3"/>
        <v>-200473.50262548734</v>
      </c>
    </row>
    <row r="121" spans="1:4" x14ac:dyDescent="0.25">
      <c r="A121" s="33" t="s">
        <v>281</v>
      </c>
      <c r="B121" s="34">
        <v>-49555</v>
      </c>
      <c r="C121" s="98">
        <f t="shared" si="2"/>
        <v>903.13346574503635</v>
      </c>
      <c r="D121" s="10">
        <f t="shared" si="3"/>
        <v>-22377.389447497641</v>
      </c>
    </row>
    <row r="122" spans="1:4" x14ac:dyDescent="0.25">
      <c r="A122" s="33" t="s">
        <v>283</v>
      </c>
      <c r="B122" s="34">
        <v>-12499</v>
      </c>
      <c r="C122" s="98">
        <f t="shared" si="2"/>
        <v>903.13346574503635</v>
      </c>
      <c r="D122" s="10">
        <f t="shared" si="3"/>
        <v>-5644.132594173605</v>
      </c>
    </row>
    <row r="123" spans="1:4" x14ac:dyDescent="0.25">
      <c r="A123" s="33" t="s">
        <v>284</v>
      </c>
      <c r="B123" s="34">
        <v>-3606</v>
      </c>
      <c r="C123" s="98">
        <f t="shared" si="2"/>
        <v>903.13346574503635</v>
      </c>
      <c r="D123" s="10">
        <f t="shared" si="3"/>
        <v>-1628.3496387383004</v>
      </c>
    </row>
    <row r="124" spans="1:4" x14ac:dyDescent="0.25">
      <c r="A124" s="33" t="s">
        <v>287</v>
      </c>
      <c r="B124" s="34">
        <v>-407</v>
      </c>
      <c r="C124" s="98">
        <f t="shared" si="2"/>
        <v>903.13346574503635</v>
      </c>
      <c r="D124" s="10">
        <f t="shared" si="3"/>
        <v>-183.7876602791149</v>
      </c>
    </row>
    <row r="125" spans="1:4" x14ac:dyDescent="0.25">
      <c r="A125" s="33"/>
      <c r="B125" s="34"/>
      <c r="C125" s="98"/>
      <c r="D125" s="10"/>
    </row>
    <row r="126" spans="1:4" ht="15.75" thickBot="1" x14ac:dyDescent="0.3">
      <c r="A126" s="36"/>
      <c r="B126" s="37"/>
      <c r="C126" s="15"/>
      <c r="D126" s="16"/>
    </row>
    <row r="127" spans="1:4" ht="16.5" thickTop="1" thickBot="1" x14ac:dyDescent="0.3">
      <c r="A127" s="13"/>
      <c r="B127" s="96">
        <f>SUM(B4:B126)</f>
        <v>7727006.4249999989</v>
      </c>
      <c r="C127" s="14"/>
      <c r="D127" s="97">
        <f>SUM(D4:D126)</f>
        <v>3489259.0462222076</v>
      </c>
    </row>
  </sheetData>
  <hyperlinks>
    <hyperlink ref="D1" r:id="rId1"/>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2011</v>
      </c>
      <c r="D4" s="72" t="s">
        <v>40</v>
      </c>
      <c r="E4" s="68"/>
    </row>
    <row r="5" spans="1:7" thickBot="1" x14ac:dyDescent="0.35">
      <c r="A5" s="238" t="s">
        <v>21</v>
      </c>
      <c r="B5" s="239"/>
      <c r="C5" s="78">
        <f>+F10*'Census Stats'!$L$38</f>
        <v>2384581.4774588249</v>
      </c>
      <c r="D5" s="66">
        <f>+D13/C5</f>
        <v>9.0306954086335427</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11045116</v>
      </c>
      <c r="E10" s="19">
        <f>+D10/D13</f>
        <v>0.5129049857788196</v>
      </c>
      <c r="F10" s="42">
        <v>957025</v>
      </c>
      <c r="G10" s="58">
        <f>+D10/F10</f>
        <v>11.541094537760246</v>
      </c>
    </row>
    <row r="11" spans="1:7" ht="14.45" x14ac:dyDescent="0.3">
      <c r="A11" s="235" t="s">
        <v>17</v>
      </c>
      <c r="B11" s="236"/>
      <c r="C11" s="237"/>
      <c r="D11" s="70">
        <f>93821+9181260</f>
        <v>9275081</v>
      </c>
      <c r="E11" s="19">
        <f>+D11/D13</f>
        <v>0.43070940028175347</v>
      </c>
      <c r="F11" s="34">
        <f>119266+3454</f>
        <v>122720</v>
      </c>
      <c r="G11" s="58">
        <f>+D11/F11</f>
        <v>75.579212842242498</v>
      </c>
    </row>
    <row r="12" spans="1:7" ht="14.45" x14ac:dyDescent="0.3">
      <c r="A12" s="235" t="s">
        <v>18</v>
      </c>
      <c r="B12" s="236"/>
      <c r="C12" s="237"/>
      <c r="D12" s="70">
        <v>1214232</v>
      </c>
      <c r="E12" s="19">
        <f>+D12/D13</f>
        <v>5.6385613939426954E-2</v>
      </c>
      <c r="F12" s="6"/>
      <c r="G12" s="47"/>
    </row>
    <row r="13" spans="1:7" thickBot="1" x14ac:dyDescent="0.35">
      <c r="A13" s="48"/>
      <c r="B13" s="240" t="s">
        <v>13</v>
      </c>
      <c r="C13" s="239"/>
      <c r="D13" s="71">
        <f>SUM(D10:D12)</f>
        <v>21534429</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'2011 Known'!B62</f>
        <v>16075429.309999997</v>
      </c>
      <c r="E18" s="19">
        <f>+D18/(D18+D19)</f>
        <v>0.70351474116855517</v>
      </c>
      <c r="F18" s="10">
        <f>'2011 Known'!D62</f>
        <v>7195140.1220042007</v>
      </c>
      <c r="G18" s="47"/>
    </row>
    <row r="19" spans="1:8" ht="18" x14ac:dyDescent="0.35">
      <c r="A19" s="235" t="s">
        <v>34</v>
      </c>
      <c r="B19" s="236"/>
      <c r="C19" s="237"/>
      <c r="D19" s="59">
        <f>'2011 Unknown'!B135</f>
        <v>6774737.6720000021</v>
      </c>
      <c r="E19" s="60">
        <f>+D19/(D18+D19)</f>
        <v>0.29648525883144472</v>
      </c>
      <c r="F19" s="74">
        <f>'2011 Unknown'!D135</f>
        <v>3064415.2106302725</v>
      </c>
      <c r="G19" s="76" t="s">
        <v>39</v>
      </c>
    </row>
    <row r="20" spans="1:8" ht="18.75" thickBot="1" x14ac:dyDescent="0.4">
      <c r="A20" s="48"/>
      <c r="B20" s="50"/>
      <c r="C20" s="50"/>
      <c r="D20" s="73">
        <f>+C4</f>
        <v>2011</v>
      </c>
      <c r="E20" s="55" t="s">
        <v>4</v>
      </c>
      <c r="F20" s="75">
        <f>SUM(F18:F19)</f>
        <v>10259555.332634473</v>
      </c>
      <c r="G20" s="77">
        <f>+F20/G22</f>
        <v>1.4770315005209387</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F2" sqref="F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2011</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50340.805</v>
      </c>
      <c r="C4" s="34">
        <v>0</v>
      </c>
      <c r="D4" s="10">
        <v>0</v>
      </c>
    </row>
    <row r="5" spans="1:5" x14ac:dyDescent="0.25">
      <c r="A5" s="33" t="s">
        <v>294</v>
      </c>
      <c r="B5" s="34">
        <v>332792.353</v>
      </c>
      <c r="C5" s="34">
        <v>0</v>
      </c>
      <c r="D5" s="10">
        <v>0</v>
      </c>
    </row>
    <row r="6" spans="1:5" x14ac:dyDescent="0.25">
      <c r="A6" s="33" t="s">
        <v>295</v>
      </c>
      <c r="B6" s="34">
        <v>-290.36</v>
      </c>
      <c r="C6" s="34">
        <v>0</v>
      </c>
      <c r="D6" s="10">
        <v>0</v>
      </c>
    </row>
    <row r="7" spans="1:5" x14ac:dyDescent="0.25">
      <c r="A7" s="33" t="s">
        <v>296</v>
      </c>
      <c r="B7" s="34">
        <v>-174.56</v>
      </c>
      <c r="C7" s="34">
        <v>0</v>
      </c>
      <c r="D7" s="10">
        <v>0</v>
      </c>
    </row>
    <row r="8" spans="1:5" x14ac:dyDescent="0.25">
      <c r="A8" s="33" t="s">
        <v>297</v>
      </c>
      <c r="B8" s="34">
        <v>301309.36599999998</v>
      </c>
      <c r="C8" s="34">
        <v>0</v>
      </c>
      <c r="D8" s="10">
        <v>0</v>
      </c>
    </row>
    <row r="9" spans="1:5" x14ac:dyDescent="0.25">
      <c r="A9" s="33" t="s">
        <v>312</v>
      </c>
      <c r="B9" s="34">
        <v>1897910</v>
      </c>
      <c r="C9" s="34">
        <v>2327.0605860279479</v>
      </c>
      <c r="D9" s="10">
        <v>2208275.7784141512</v>
      </c>
    </row>
    <row r="10" spans="1:5" x14ac:dyDescent="0.25">
      <c r="A10" s="33" t="s">
        <v>313</v>
      </c>
      <c r="B10" s="34">
        <v>2312673</v>
      </c>
      <c r="C10" s="34">
        <v>2379.5191963705229</v>
      </c>
      <c r="D10" s="10">
        <v>2751524.8992139031</v>
      </c>
    </row>
    <row r="11" spans="1:5" x14ac:dyDescent="0.25">
      <c r="A11" s="33" t="s">
        <v>299</v>
      </c>
      <c r="B11" s="34">
        <v>88887.6</v>
      </c>
      <c r="C11" s="34">
        <v>1094.7936280114202</v>
      </c>
      <c r="D11" s="10">
        <v>48656.789044613957</v>
      </c>
    </row>
    <row r="12" spans="1:5" x14ac:dyDescent="0.25">
      <c r="A12" s="33" t="s">
        <v>301</v>
      </c>
      <c r="B12" s="34">
        <v>135217.96400000001</v>
      </c>
      <c r="C12" s="34">
        <v>868.10920406721675</v>
      </c>
      <c r="D12" s="10">
        <v>58691.979551814788</v>
      </c>
    </row>
    <row r="13" spans="1:5" x14ac:dyDescent="0.25">
      <c r="A13" s="33" t="s">
        <v>305</v>
      </c>
      <c r="B13" s="34">
        <v>609012.73499999999</v>
      </c>
      <c r="C13" s="34">
        <v>794.73030162961243</v>
      </c>
      <c r="D13" s="10">
        <v>242000.43729141259</v>
      </c>
    </row>
    <row r="14" spans="1:5" x14ac:dyDescent="0.25">
      <c r="A14" s="33" t="s">
        <v>308</v>
      </c>
      <c r="B14" s="34">
        <v>702080.6</v>
      </c>
      <c r="C14" s="34">
        <v>870.8206822191604</v>
      </c>
      <c r="D14" s="10">
        <v>305693.15353241871</v>
      </c>
    </row>
    <row r="15" spans="1:5" x14ac:dyDescent="0.25">
      <c r="A15" s="33" t="s">
        <v>309</v>
      </c>
      <c r="B15" s="34">
        <v>178397.424</v>
      </c>
      <c r="C15" s="34">
        <v>1016.0404659069227</v>
      </c>
      <c r="D15" s="10">
        <v>90629.500898777405</v>
      </c>
    </row>
    <row r="16" spans="1:5" x14ac:dyDescent="0.25">
      <c r="A16" s="33" t="s">
        <v>298</v>
      </c>
      <c r="B16" s="34">
        <v>273.13</v>
      </c>
      <c r="C16" s="34">
        <v>1834.7460975699516</v>
      </c>
      <c r="D16" s="10">
        <v>250.56210081464044</v>
      </c>
    </row>
    <row r="17" spans="1:4" x14ac:dyDescent="0.25">
      <c r="A17" s="33" t="s">
        <v>302</v>
      </c>
      <c r="B17" s="34">
        <v>27939.9</v>
      </c>
      <c r="C17" s="34">
        <v>1632.4948746619955</v>
      </c>
      <c r="D17" s="10">
        <v>22805.871774284344</v>
      </c>
    </row>
    <row r="18" spans="1:4" x14ac:dyDescent="0.25">
      <c r="A18" s="33" t="s">
        <v>303</v>
      </c>
      <c r="B18" s="34">
        <v>48850.400000000001</v>
      </c>
      <c r="C18" s="34">
        <v>1231.573102374178</v>
      </c>
      <c r="D18" s="10">
        <v>30081.419340109773</v>
      </c>
    </row>
    <row r="19" spans="1:4" x14ac:dyDescent="0.25">
      <c r="A19" s="33" t="s">
        <v>304</v>
      </c>
      <c r="B19" s="34">
        <v>9975.6</v>
      </c>
      <c r="C19" s="34">
        <v>12617.057120113494</v>
      </c>
      <c r="D19" s="10">
        <v>62931.357503702078</v>
      </c>
    </row>
    <row r="20" spans="1:4" x14ac:dyDescent="0.25">
      <c r="A20" s="33" t="s">
        <v>306</v>
      </c>
      <c r="B20" s="34">
        <v>433218.60800000001</v>
      </c>
      <c r="C20" s="34">
        <v>0</v>
      </c>
      <c r="D20" s="10">
        <v>0</v>
      </c>
    </row>
    <row r="21" spans="1:4" x14ac:dyDescent="0.25">
      <c r="A21" s="33" t="s">
        <v>310</v>
      </c>
      <c r="B21" s="34">
        <v>22501</v>
      </c>
      <c r="C21" s="34">
        <v>1900.7042839872613</v>
      </c>
      <c r="D21" s="10">
        <v>21383.873546998682</v>
      </c>
    </row>
    <row r="22" spans="1:4" x14ac:dyDescent="0.25">
      <c r="A22" s="33" t="s">
        <v>311</v>
      </c>
      <c r="B22" s="34">
        <v>730658.80599999998</v>
      </c>
      <c r="C22" s="34">
        <v>0</v>
      </c>
      <c r="D22" s="10">
        <v>0</v>
      </c>
    </row>
    <row r="23" spans="1:4" x14ac:dyDescent="0.25">
      <c r="A23" s="33" t="s">
        <v>314</v>
      </c>
      <c r="B23" s="34">
        <v>105.014</v>
      </c>
      <c r="C23" s="34">
        <v>0</v>
      </c>
      <c r="D23" s="10">
        <v>0</v>
      </c>
    </row>
    <row r="24" spans="1:4" x14ac:dyDescent="0.25">
      <c r="A24" s="33" t="s">
        <v>195</v>
      </c>
      <c r="B24" s="34">
        <v>109875</v>
      </c>
      <c r="C24" s="34">
        <v>845.2820744685913</v>
      </c>
      <c r="D24" s="10">
        <v>46437.683966118231</v>
      </c>
    </row>
    <row r="25" spans="1:4" x14ac:dyDescent="0.25">
      <c r="A25" s="33" t="s">
        <v>315</v>
      </c>
      <c r="B25" s="34">
        <v>22073.61</v>
      </c>
      <c r="C25" s="34">
        <v>845.2820744685913</v>
      </c>
      <c r="D25" s="10">
        <v>9329.21342590532</v>
      </c>
    </row>
    <row r="26" spans="1:4" x14ac:dyDescent="0.25">
      <c r="A26" s="33" t="s">
        <v>317</v>
      </c>
      <c r="B26" s="34">
        <v>9716.4599999999991</v>
      </c>
      <c r="C26" s="34">
        <v>0</v>
      </c>
      <c r="D26" s="10">
        <v>0</v>
      </c>
    </row>
    <row r="27" spans="1:4" x14ac:dyDescent="0.25">
      <c r="A27" s="33" t="s">
        <v>200</v>
      </c>
      <c r="B27" s="34">
        <v>-509390</v>
      </c>
      <c r="C27" s="34">
        <v>0</v>
      </c>
      <c r="D27" s="10">
        <v>0</v>
      </c>
    </row>
    <row r="28" spans="1:4" x14ac:dyDescent="0.25">
      <c r="A28" s="33" t="s">
        <v>175</v>
      </c>
      <c r="B28" s="34">
        <v>7000</v>
      </c>
      <c r="C28" s="34">
        <v>0</v>
      </c>
      <c r="D28" s="10">
        <v>0</v>
      </c>
    </row>
    <row r="29" spans="1:4" x14ac:dyDescent="0.25">
      <c r="A29" s="33" t="s">
        <v>318</v>
      </c>
      <c r="B29" s="34">
        <v>413808</v>
      </c>
      <c r="C29" s="34">
        <v>845.2820744685913</v>
      </c>
      <c r="D29" s="10">
        <v>174892.24233584941</v>
      </c>
    </row>
    <row r="30" spans="1:4" x14ac:dyDescent="0.25">
      <c r="A30" s="33" t="s">
        <v>320</v>
      </c>
      <c r="B30" s="34">
        <v>129926</v>
      </c>
      <c r="C30" s="34">
        <v>0</v>
      </c>
      <c r="D30" s="10">
        <v>0</v>
      </c>
    </row>
    <row r="31" spans="1:4" x14ac:dyDescent="0.25">
      <c r="A31" s="33" t="s">
        <v>321</v>
      </c>
      <c r="B31" s="34">
        <v>1647786</v>
      </c>
      <c r="C31" s="34">
        <v>0</v>
      </c>
      <c r="D31" s="10">
        <v>0</v>
      </c>
    </row>
    <row r="32" spans="1:4" x14ac:dyDescent="0.25">
      <c r="A32" s="33" t="s">
        <v>322</v>
      </c>
      <c r="B32" s="34">
        <v>2517798</v>
      </c>
      <c r="C32" s="34">
        <v>0</v>
      </c>
      <c r="D32" s="10">
        <v>0</v>
      </c>
    </row>
    <row r="33" spans="1:4" x14ac:dyDescent="0.25">
      <c r="A33" s="33" t="s">
        <v>323</v>
      </c>
      <c r="B33" s="34">
        <v>1061183</v>
      </c>
      <c r="C33" s="34">
        <v>0</v>
      </c>
      <c r="D33" s="10">
        <v>0</v>
      </c>
    </row>
    <row r="34" spans="1:4" x14ac:dyDescent="0.25">
      <c r="A34" s="33" t="s">
        <v>325</v>
      </c>
      <c r="B34" s="34">
        <v>3412.36</v>
      </c>
      <c r="C34" s="34">
        <v>0</v>
      </c>
      <c r="D34" s="10">
        <v>0</v>
      </c>
    </row>
    <row r="35" spans="1:4" x14ac:dyDescent="0.25">
      <c r="A35" s="33" t="s">
        <v>326</v>
      </c>
      <c r="B35" s="34">
        <v>4903.5690000000004</v>
      </c>
      <c r="C35" s="34">
        <v>0</v>
      </c>
      <c r="D35" s="10">
        <v>0</v>
      </c>
    </row>
    <row r="36" spans="1:4" x14ac:dyDescent="0.25">
      <c r="A36" s="35" t="s">
        <v>328</v>
      </c>
      <c r="B36" s="34">
        <v>253731</v>
      </c>
      <c r="C36" s="34">
        <v>0</v>
      </c>
      <c r="D36" s="10">
        <v>0</v>
      </c>
    </row>
    <row r="37" spans="1:4" x14ac:dyDescent="0.25">
      <c r="A37" s="35" t="s">
        <v>330</v>
      </c>
      <c r="B37" s="34">
        <v>15.23</v>
      </c>
      <c r="C37" s="34">
        <v>0</v>
      </c>
      <c r="D37" s="10">
        <v>0</v>
      </c>
    </row>
    <row r="38" spans="1:4" x14ac:dyDescent="0.25">
      <c r="A38" s="35" t="s">
        <v>236</v>
      </c>
      <c r="B38" s="34">
        <v>385873</v>
      </c>
      <c r="C38" s="34">
        <v>845.2820744685913</v>
      </c>
      <c r="D38" s="10">
        <v>163085.76496070938</v>
      </c>
    </row>
    <row r="39" spans="1:4" x14ac:dyDescent="0.25">
      <c r="A39" s="35" t="s">
        <v>332</v>
      </c>
      <c r="B39" s="34">
        <v>132950</v>
      </c>
      <c r="C39" s="34">
        <v>0</v>
      </c>
      <c r="D39" s="10">
        <v>0</v>
      </c>
    </row>
    <row r="40" spans="1:4" x14ac:dyDescent="0.25">
      <c r="A40" s="35" t="s">
        <v>333</v>
      </c>
      <c r="B40" s="34">
        <v>85.938000000000002</v>
      </c>
      <c r="C40" s="34">
        <v>0</v>
      </c>
      <c r="D40" s="10">
        <v>0</v>
      </c>
    </row>
    <row r="41" spans="1:4" x14ac:dyDescent="0.25">
      <c r="A41" s="35" t="s">
        <v>183</v>
      </c>
      <c r="B41" s="34">
        <v>180000</v>
      </c>
      <c r="C41" s="34">
        <v>845.2820744685913</v>
      </c>
      <c r="D41" s="10">
        <v>76075.386702173215</v>
      </c>
    </row>
    <row r="42" spans="1:4" x14ac:dyDescent="0.25">
      <c r="A42" s="35" t="s">
        <v>335</v>
      </c>
      <c r="B42" s="34">
        <v>3315</v>
      </c>
      <c r="C42" s="34">
        <v>0</v>
      </c>
      <c r="D42" s="10">
        <v>0</v>
      </c>
    </row>
    <row r="43" spans="1:4" x14ac:dyDescent="0.25">
      <c r="A43" s="35" t="s">
        <v>268</v>
      </c>
      <c r="B43" s="34">
        <v>161925</v>
      </c>
      <c r="C43" s="34">
        <v>845.2820744685913</v>
      </c>
      <c r="D43" s="10">
        <v>68436.149954163324</v>
      </c>
    </row>
    <row r="44" spans="1:4" x14ac:dyDescent="0.25">
      <c r="A44" s="35" t="s">
        <v>185</v>
      </c>
      <c r="B44" s="34">
        <v>437989</v>
      </c>
      <c r="C44" s="34">
        <v>845.2820744685913</v>
      </c>
      <c r="D44" s="10">
        <v>185112.12525721191</v>
      </c>
    </row>
    <row r="45" spans="1:4" x14ac:dyDescent="0.25">
      <c r="A45" s="35" t="s">
        <v>337</v>
      </c>
      <c r="B45" s="34">
        <v>5017.3999999999996</v>
      </c>
      <c r="C45" s="34">
        <v>0</v>
      </c>
      <c r="D45" s="10">
        <v>0</v>
      </c>
    </row>
    <row r="46" spans="1:4" x14ac:dyDescent="0.25">
      <c r="A46" s="35" t="s">
        <v>338</v>
      </c>
      <c r="B46" s="34">
        <v>169.59399999999999</v>
      </c>
      <c r="C46" s="34">
        <v>0</v>
      </c>
      <c r="D46" s="10">
        <v>0</v>
      </c>
    </row>
    <row r="47" spans="1:4" x14ac:dyDescent="0.25">
      <c r="A47" s="35" t="s">
        <v>342</v>
      </c>
      <c r="B47" s="34">
        <v>749.88199999999995</v>
      </c>
      <c r="C47" s="34">
        <v>0</v>
      </c>
      <c r="D47" s="10">
        <v>0</v>
      </c>
    </row>
    <row r="48" spans="1:4" x14ac:dyDescent="0.25">
      <c r="A48" s="35" t="s">
        <v>343</v>
      </c>
      <c r="B48" s="34">
        <v>3919</v>
      </c>
      <c r="C48" s="34">
        <v>0</v>
      </c>
      <c r="D48" s="10">
        <v>0</v>
      </c>
    </row>
    <row r="49" spans="1:4" x14ac:dyDescent="0.25">
      <c r="A49" s="35" t="s">
        <v>344</v>
      </c>
      <c r="B49" s="34">
        <v>38437</v>
      </c>
      <c r="C49" s="34">
        <v>0</v>
      </c>
      <c r="D49" s="10">
        <v>0</v>
      </c>
    </row>
    <row r="50" spans="1:4" x14ac:dyDescent="0.25">
      <c r="A50" s="35" t="s">
        <v>348</v>
      </c>
      <c r="B50" s="34">
        <v>1180.2</v>
      </c>
      <c r="C50" s="34">
        <v>0</v>
      </c>
      <c r="D50" s="10">
        <v>0</v>
      </c>
    </row>
    <row r="51" spans="1:4" x14ac:dyDescent="0.25">
      <c r="A51" s="35" t="s">
        <v>349</v>
      </c>
      <c r="B51" s="34">
        <v>41094.68</v>
      </c>
      <c r="C51" s="34">
        <v>0</v>
      </c>
      <c r="D51" s="10">
        <v>0</v>
      </c>
    </row>
    <row r="52" spans="1:4" x14ac:dyDescent="0.25">
      <c r="A52" s="35" t="s">
        <v>351</v>
      </c>
      <c r="B52" s="34">
        <v>769775.10599999991</v>
      </c>
      <c r="C52" s="34">
        <v>712.22460121237009</v>
      </c>
      <c r="D52" s="10">
        <v>274126.38394702994</v>
      </c>
    </row>
    <row r="53" spans="1:4" x14ac:dyDescent="0.25">
      <c r="A53" s="35" t="s">
        <v>352</v>
      </c>
      <c r="B53" s="34">
        <v>24528.506000000001</v>
      </c>
      <c r="C53" s="34">
        <v>0</v>
      </c>
      <c r="D53" s="10">
        <v>0</v>
      </c>
    </row>
    <row r="54" spans="1:4" x14ac:dyDescent="0.25">
      <c r="A54" s="35" t="s">
        <v>353</v>
      </c>
      <c r="B54" s="34">
        <v>2962.03</v>
      </c>
      <c r="C54" s="34">
        <v>1037.0038632651913</v>
      </c>
      <c r="D54" s="10">
        <v>1535.8182765536974</v>
      </c>
    </row>
    <row r="55" spans="1:4" x14ac:dyDescent="0.25">
      <c r="A55" s="35" t="s">
        <v>355</v>
      </c>
      <c r="B55" s="34">
        <v>143386</v>
      </c>
      <c r="C55" s="34">
        <v>4486.4813195427632</v>
      </c>
      <c r="D55" s="10">
        <v>321649.30524197931</v>
      </c>
    </row>
    <row r="56" spans="1:4" x14ac:dyDescent="0.25">
      <c r="A56" s="35" t="s">
        <v>356</v>
      </c>
      <c r="B56" s="34">
        <v>1153.68</v>
      </c>
      <c r="C56" s="34">
        <v>0</v>
      </c>
      <c r="D56" s="10">
        <v>0</v>
      </c>
    </row>
    <row r="57" spans="1:4" x14ac:dyDescent="0.25">
      <c r="A57" s="35" t="s">
        <v>277</v>
      </c>
      <c r="B57" s="34">
        <v>81307.08</v>
      </c>
      <c r="C57" s="34">
        <v>775.68707973541314</v>
      </c>
      <c r="D57" s="10">
        <v>31534.425723506807</v>
      </c>
    </row>
    <row r="58" spans="1:4" x14ac:dyDescent="0.25">
      <c r="A58" s="35" t="s">
        <v>357</v>
      </c>
      <c r="B58" s="34">
        <v>90259.6</v>
      </c>
      <c r="C58" s="34">
        <v>0</v>
      </c>
      <c r="D58" s="10">
        <v>0</v>
      </c>
    </row>
    <row r="59" spans="1:4" x14ac:dyDescent="0.25">
      <c r="A59" s="35" t="s">
        <v>358</v>
      </c>
      <c r="B59" s="34">
        <v>15834</v>
      </c>
      <c r="C59" s="34">
        <v>0</v>
      </c>
      <c r="D59" s="10">
        <v>0</v>
      </c>
    </row>
    <row r="60" spans="1:4" x14ac:dyDescent="0.25">
      <c r="A60" s="35"/>
      <c r="B60" s="34"/>
      <c r="C60" s="34"/>
      <c r="D60" s="10"/>
    </row>
    <row r="61" spans="1:4" ht="15.75" thickBot="1" x14ac:dyDescent="0.3">
      <c r="A61" s="36"/>
      <c r="B61" s="37"/>
      <c r="C61" s="37"/>
      <c r="D61" s="16"/>
    </row>
    <row r="62" spans="1:4" ht="16.5" thickTop="1" thickBot="1" x14ac:dyDescent="0.3">
      <c r="A62" s="1"/>
      <c r="B62" s="17">
        <f>SUM(B4:B61)</f>
        <v>16075429.309999997</v>
      </c>
      <c r="D62" s="17">
        <f>SUM(D4:D61)</f>
        <v>7195140.1220042007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2011</v>
      </c>
      <c r="D1" s="8" t="s">
        <v>2</v>
      </c>
      <c r="H1" s="130">
        <v>904.65944483592443</v>
      </c>
      <c r="I1" t="s">
        <v>6</v>
      </c>
    </row>
    <row r="2" spans="1:9" ht="18.75" x14ac:dyDescent="0.3">
      <c r="A2" s="3"/>
      <c r="B2" s="11" t="s">
        <v>31</v>
      </c>
      <c r="C2" s="11" t="s">
        <v>1</v>
      </c>
      <c r="D2" s="11" t="s">
        <v>5</v>
      </c>
      <c r="E2" s="4"/>
      <c r="F2" s="40" t="s">
        <v>9</v>
      </c>
      <c r="G2" s="38">
        <v>2011</v>
      </c>
      <c r="H2" s="41"/>
    </row>
    <row r="3" spans="1:9" ht="19.5" x14ac:dyDescent="0.35">
      <c r="A3" s="5" t="s">
        <v>0</v>
      </c>
      <c r="B3" s="12"/>
      <c r="C3" s="12" t="s">
        <v>7</v>
      </c>
      <c r="D3" s="12" t="s">
        <v>8</v>
      </c>
      <c r="E3" s="7"/>
    </row>
    <row r="4" spans="1:9" x14ac:dyDescent="0.25">
      <c r="A4" s="33" t="s">
        <v>194</v>
      </c>
      <c r="B4" s="34">
        <v>117376.28</v>
      </c>
      <c r="C4" s="98">
        <f>IF(B4&lt;&gt;0,$H$1,"")</f>
        <v>904.65944483592443</v>
      </c>
      <c r="D4" s="10">
        <f>(+B4*C4)/2000</f>
        <v>53092.78015085301</v>
      </c>
    </row>
    <row r="5" spans="1:9" x14ac:dyDescent="0.25">
      <c r="A5" s="33" t="s">
        <v>195</v>
      </c>
      <c r="B5" s="34">
        <v>27750</v>
      </c>
      <c r="C5" s="98">
        <f t="shared" ref="C5:C68" si="0">IF(B5&lt;&gt;0,$H$1,"")</f>
        <v>904.65944483592443</v>
      </c>
      <c r="D5" s="10">
        <f t="shared" ref="D5:D68" si="1">(+B5*C5)/2000</f>
        <v>12552.149797098453</v>
      </c>
    </row>
    <row r="6" spans="1:9" x14ac:dyDescent="0.25">
      <c r="A6" s="33" t="s">
        <v>198</v>
      </c>
      <c r="B6" s="34">
        <v>3515</v>
      </c>
      <c r="C6" s="98">
        <f t="shared" si="0"/>
        <v>904.65944483592443</v>
      </c>
      <c r="D6" s="10">
        <f t="shared" si="1"/>
        <v>1589.9389742991373</v>
      </c>
    </row>
    <row r="7" spans="1:9" x14ac:dyDescent="0.25">
      <c r="A7" s="33" t="s">
        <v>199</v>
      </c>
      <c r="B7" s="34">
        <v>119000</v>
      </c>
      <c r="C7" s="98">
        <f t="shared" si="0"/>
        <v>904.65944483592443</v>
      </c>
      <c r="D7" s="10">
        <f t="shared" si="1"/>
        <v>53827.236967737503</v>
      </c>
    </row>
    <row r="8" spans="1:9" x14ac:dyDescent="0.25">
      <c r="A8" s="33" t="s">
        <v>200</v>
      </c>
      <c r="B8" s="34">
        <v>-3113284</v>
      </c>
      <c r="C8" s="98">
        <f t="shared" si="0"/>
        <v>904.65944483592443</v>
      </c>
      <c r="D8" s="10">
        <f t="shared" si="1"/>
        <v>-1408230.8875282831</v>
      </c>
    </row>
    <row r="9" spans="1:9" x14ac:dyDescent="0.25">
      <c r="A9" s="33" t="s">
        <v>201</v>
      </c>
      <c r="B9" s="34">
        <v>345552</v>
      </c>
      <c r="C9" s="98">
        <f t="shared" si="0"/>
        <v>904.65944483592443</v>
      </c>
      <c r="D9" s="10">
        <f t="shared" si="1"/>
        <v>156303.44024097169</v>
      </c>
    </row>
    <row r="10" spans="1:9" x14ac:dyDescent="0.25">
      <c r="A10" s="33" t="s">
        <v>175</v>
      </c>
      <c r="B10" s="34">
        <v>382105</v>
      </c>
      <c r="C10" s="98">
        <f t="shared" si="0"/>
        <v>904.65944483592443</v>
      </c>
      <c r="D10" s="10">
        <f t="shared" si="1"/>
        <v>172837.44858451546</v>
      </c>
    </row>
    <row r="11" spans="1:9" x14ac:dyDescent="0.25">
      <c r="A11" s="33" t="s">
        <v>202</v>
      </c>
      <c r="B11" s="34">
        <v>9</v>
      </c>
      <c r="C11" s="98">
        <f t="shared" si="0"/>
        <v>904.65944483592443</v>
      </c>
      <c r="D11" s="10">
        <f t="shared" si="1"/>
        <v>4.0709675017616602</v>
      </c>
    </row>
    <row r="12" spans="1:9" x14ac:dyDescent="0.25">
      <c r="A12" s="33" t="s">
        <v>204</v>
      </c>
      <c r="B12" s="34">
        <v>2000</v>
      </c>
      <c r="C12" s="98">
        <f t="shared" si="0"/>
        <v>904.65944483592443</v>
      </c>
      <c r="D12" s="10">
        <f t="shared" si="1"/>
        <v>904.65944483592443</v>
      </c>
    </row>
    <row r="13" spans="1:9" x14ac:dyDescent="0.25">
      <c r="A13" s="33" t="s">
        <v>176</v>
      </c>
      <c r="B13" s="34">
        <v>318865</v>
      </c>
      <c r="C13" s="98">
        <f t="shared" si="0"/>
        <v>904.65944483592443</v>
      </c>
      <c r="D13" s="10">
        <f t="shared" si="1"/>
        <v>144232.11693880352</v>
      </c>
    </row>
    <row r="14" spans="1:9" x14ac:dyDescent="0.25">
      <c r="A14" s="33" t="s">
        <v>208</v>
      </c>
      <c r="B14" s="34">
        <v>8620</v>
      </c>
      <c r="C14" s="98">
        <f t="shared" si="0"/>
        <v>904.65944483592443</v>
      </c>
      <c r="D14" s="10">
        <f t="shared" si="1"/>
        <v>3899.0822072428346</v>
      </c>
    </row>
    <row r="15" spans="1:9" x14ac:dyDescent="0.25">
      <c r="A15" s="33" t="s">
        <v>189</v>
      </c>
      <c r="B15" s="34">
        <v>1028188</v>
      </c>
      <c r="C15" s="98">
        <f t="shared" si="0"/>
        <v>904.65944483592443</v>
      </c>
      <c r="D15" s="10">
        <f t="shared" si="1"/>
        <v>465079.99263347971</v>
      </c>
    </row>
    <row r="16" spans="1:9" x14ac:dyDescent="0.25">
      <c r="A16" s="33" t="s">
        <v>212</v>
      </c>
      <c r="B16" s="34">
        <v>8570</v>
      </c>
      <c r="C16" s="98">
        <f t="shared" si="0"/>
        <v>904.65944483592443</v>
      </c>
      <c r="D16" s="10">
        <f t="shared" si="1"/>
        <v>3876.465721121936</v>
      </c>
    </row>
    <row r="17" spans="1:4" x14ac:dyDescent="0.25">
      <c r="A17" s="33" t="s">
        <v>213</v>
      </c>
      <c r="B17" s="34">
        <v>15878</v>
      </c>
      <c r="C17" s="98">
        <f t="shared" si="0"/>
        <v>904.65944483592443</v>
      </c>
      <c r="D17" s="10">
        <f t="shared" si="1"/>
        <v>7182.0913325524043</v>
      </c>
    </row>
    <row r="18" spans="1:4" x14ac:dyDescent="0.25">
      <c r="A18" s="33" t="s">
        <v>177</v>
      </c>
      <c r="B18" s="34">
        <v>298689</v>
      </c>
      <c r="C18" s="98">
        <f t="shared" si="0"/>
        <v>904.65944483592443</v>
      </c>
      <c r="D18" s="10">
        <f t="shared" si="1"/>
        <v>135105.91245929874</v>
      </c>
    </row>
    <row r="19" spans="1:4" x14ac:dyDescent="0.25">
      <c r="A19" s="33" t="s">
        <v>215</v>
      </c>
      <c r="B19" s="34">
        <v>5848</v>
      </c>
      <c r="C19" s="98">
        <f t="shared" si="0"/>
        <v>904.65944483592443</v>
      </c>
      <c r="D19" s="10">
        <f t="shared" si="1"/>
        <v>2645.2242167002428</v>
      </c>
    </row>
    <row r="20" spans="1:4" x14ac:dyDescent="0.25">
      <c r="A20" s="33" t="s">
        <v>217</v>
      </c>
      <c r="B20" s="34">
        <v>197398</v>
      </c>
      <c r="C20" s="98">
        <f t="shared" si="0"/>
        <v>904.65944483592443</v>
      </c>
      <c r="D20" s="10">
        <f t="shared" si="1"/>
        <v>89288.982545860898</v>
      </c>
    </row>
    <row r="21" spans="1:4" x14ac:dyDescent="0.25">
      <c r="A21" s="33" t="s">
        <v>179</v>
      </c>
      <c r="B21" s="34">
        <v>277494</v>
      </c>
      <c r="C21" s="98">
        <f t="shared" si="0"/>
        <v>904.65944483592443</v>
      </c>
      <c r="D21" s="10">
        <f t="shared" si="1"/>
        <v>125518.78399265</v>
      </c>
    </row>
    <row r="22" spans="1:4" x14ac:dyDescent="0.25">
      <c r="A22" s="33" t="s">
        <v>219</v>
      </c>
      <c r="B22" s="34">
        <v>585729</v>
      </c>
      <c r="C22" s="98">
        <f t="shared" si="0"/>
        <v>904.65944483592443</v>
      </c>
      <c r="D22" s="10">
        <f t="shared" si="1"/>
        <v>264942.63598215056</v>
      </c>
    </row>
    <row r="23" spans="1:4" x14ac:dyDescent="0.25">
      <c r="A23" s="33" t="s">
        <v>223</v>
      </c>
      <c r="B23" s="34">
        <v>63900</v>
      </c>
      <c r="C23" s="98">
        <f t="shared" si="0"/>
        <v>904.65944483592443</v>
      </c>
      <c r="D23" s="10">
        <f t="shared" si="1"/>
        <v>28903.869262507786</v>
      </c>
    </row>
    <row r="24" spans="1:4" x14ac:dyDescent="0.25">
      <c r="A24" s="33" t="s">
        <v>190</v>
      </c>
      <c r="B24" s="34">
        <v>10000</v>
      </c>
      <c r="C24" s="98">
        <f t="shared" si="0"/>
        <v>904.65944483592443</v>
      </c>
      <c r="D24" s="10">
        <f t="shared" si="1"/>
        <v>4523.2972241796215</v>
      </c>
    </row>
    <row r="25" spans="1:4" x14ac:dyDescent="0.25">
      <c r="A25" s="33" t="s">
        <v>226</v>
      </c>
      <c r="B25" s="34">
        <v>57335</v>
      </c>
      <c r="C25" s="98">
        <f t="shared" si="0"/>
        <v>904.65944483592443</v>
      </c>
      <c r="D25" s="10">
        <f t="shared" si="1"/>
        <v>25934.324634833865</v>
      </c>
    </row>
    <row r="26" spans="1:4" x14ac:dyDescent="0.25">
      <c r="A26" s="33" t="s">
        <v>229</v>
      </c>
      <c r="B26" s="34">
        <v>20800</v>
      </c>
      <c r="C26" s="98">
        <f t="shared" si="0"/>
        <v>904.65944483592443</v>
      </c>
      <c r="D26" s="10">
        <f t="shared" si="1"/>
        <v>9408.4582262936146</v>
      </c>
    </row>
    <row r="27" spans="1:4" x14ac:dyDescent="0.25">
      <c r="A27" s="33" t="s">
        <v>230</v>
      </c>
      <c r="B27" s="34">
        <v>587403</v>
      </c>
      <c r="C27" s="98">
        <f t="shared" si="0"/>
        <v>904.65944483592443</v>
      </c>
      <c r="D27" s="10">
        <f t="shared" si="1"/>
        <v>265699.83593747829</v>
      </c>
    </row>
    <row r="28" spans="1:4" x14ac:dyDescent="0.25">
      <c r="A28" s="33" t="s">
        <v>232</v>
      </c>
      <c r="B28" s="34">
        <v>73320</v>
      </c>
      <c r="C28" s="98">
        <f t="shared" si="0"/>
        <v>904.65944483592443</v>
      </c>
      <c r="D28" s="10">
        <f t="shared" si="1"/>
        <v>33164.815247684986</v>
      </c>
    </row>
    <row r="29" spans="1:4" x14ac:dyDescent="0.25">
      <c r="A29" s="33" t="s">
        <v>235</v>
      </c>
      <c r="B29" s="34">
        <v>400</v>
      </c>
      <c r="C29" s="98">
        <f t="shared" si="0"/>
        <v>904.65944483592443</v>
      </c>
      <c r="D29" s="10">
        <f t="shared" si="1"/>
        <v>180.93188896718488</v>
      </c>
    </row>
    <row r="30" spans="1:4" x14ac:dyDescent="0.25">
      <c r="A30" s="33" t="s">
        <v>236</v>
      </c>
      <c r="B30" s="34">
        <v>1148676</v>
      </c>
      <c r="C30" s="98">
        <f t="shared" si="0"/>
        <v>904.65944483592443</v>
      </c>
      <c r="D30" s="10">
        <f t="shared" si="1"/>
        <v>519580.29622817517</v>
      </c>
    </row>
    <row r="31" spans="1:4" x14ac:dyDescent="0.25">
      <c r="A31" s="33" t="s">
        <v>243</v>
      </c>
      <c r="B31" s="34">
        <v>350800</v>
      </c>
      <c r="C31" s="98">
        <f t="shared" si="0"/>
        <v>904.65944483592443</v>
      </c>
      <c r="D31" s="10">
        <f t="shared" si="1"/>
        <v>158677.26662422114</v>
      </c>
    </row>
    <row r="32" spans="1:4" x14ac:dyDescent="0.25">
      <c r="A32" s="33" t="s">
        <v>180</v>
      </c>
      <c r="B32" s="34">
        <v>1335550</v>
      </c>
      <c r="C32" s="98">
        <f t="shared" si="0"/>
        <v>904.65944483592443</v>
      </c>
      <c r="D32" s="10">
        <f t="shared" si="1"/>
        <v>604108.96077530948</v>
      </c>
    </row>
    <row r="33" spans="1:4" x14ac:dyDescent="0.25">
      <c r="A33" s="33" t="s">
        <v>248</v>
      </c>
      <c r="B33" s="34">
        <v>30168</v>
      </c>
      <c r="C33" s="98">
        <f t="shared" si="0"/>
        <v>904.65944483592443</v>
      </c>
      <c r="D33" s="10">
        <f t="shared" si="1"/>
        <v>13645.883065905085</v>
      </c>
    </row>
    <row r="34" spans="1:4" x14ac:dyDescent="0.25">
      <c r="A34" s="33" t="s">
        <v>249</v>
      </c>
      <c r="B34" s="34">
        <v>10800</v>
      </c>
      <c r="C34" s="98">
        <f t="shared" si="0"/>
        <v>904.65944483592443</v>
      </c>
      <c r="D34" s="10">
        <f t="shared" si="1"/>
        <v>4885.1610021139923</v>
      </c>
    </row>
    <row r="35" spans="1:4" x14ac:dyDescent="0.25">
      <c r="A35" s="33" t="s">
        <v>250</v>
      </c>
      <c r="B35" s="34">
        <v>3200</v>
      </c>
      <c r="C35" s="98">
        <f t="shared" si="0"/>
        <v>904.65944483592443</v>
      </c>
      <c r="D35" s="10">
        <f t="shared" si="1"/>
        <v>1447.455111737479</v>
      </c>
    </row>
    <row r="36" spans="1:4" x14ac:dyDescent="0.25">
      <c r="A36" s="33" t="s">
        <v>251</v>
      </c>
      <c r="B36" s="34">
        <v>430</v>
      </c>
      <c r="C36" s="98">
        <f t="shared" si="0"/>
        <v>904.65944483592443</v>
      </c>
      <c r="D36" s="10">
        <f t="shared" si="1"/>
        <v>194.50178063972376</v>
      </c>
    </row>
    <row r="37" spans="1:4" x14ac:dyDescent="0.25">
      <c r="A37" s="33" t="s">
        <v>252</v>
      </c>
      <c r="B37" s="34">
        <v>6224</v>
      </c>
      <c r="C37" s="98">
        <f t="shared" si="0"/>
        <v>904.65944483592443</v>
      </c>
      <c r="D37" s="10">
        <f t="shared" si="1"/>
        <v>2815.3001923293969</v>
      </c>
    </row>
    <row r="38" spans="1:4" x14ac:dyDescent="0.25">
      <c r="A38" s="33" t="s">
        <v>254</v>
      </c>
      <c r="B38" s="34">
        <v>4945</v>
      </c>
      <c r="C38" s="98">
        <f t="shared" si="0"/>
        <v>904.65944483592443</v>
      </c>
      <c r="D38" s="10">
        <f t="shared" si="1"/>
        <v>2236.770477356823</v>
      </c>
    </row>
    <row r="39" spans="1:4" x14ac:dyDescent="0.25">
      <c r="A39" s="33" t="s">
        <v>255</v>
      </c>
      <c r="B39" s="34">
        <v>337472</v>
      </c>
      <c r="C39" s="98">
        <f t="shared" si="0"/>
        <v>904.65944483592443</v>
      </c>
      <c r="D39" s="10">
        <f t="shared" si="1"/>
        <v>152648.61608383455</v>
      </c>
    </row>
    <row r="40" spans="1:4" x14ac:dyDescent="0.25">
      <c r="A40" s="33" t="s">
        <v>256</v>
      </c>
      <c r="B40" s="34">
        <v>1952</v>
      </c>
      <c r="C40" s="98">
        <f t="shared" si="0"/>
        <v>904.65944483592443</v>
      </c>
      <c r="D40" s="10">
        <f t="shared" si="1"/>
        <v>882.94761815986226</v>
      </c>
    </row>
    <row r="41" spans="1:4" x14ac:dyDescent="0.25">
      <c r="A41" s="33" t="s">
        <v>257</v>
      </c>
      <c r="B41" s="34">
        <v>78506</v>
      </c>
      <c r="C41" s="98">
        <f t="shared" si="0"/>
        <v>904.65944483592443</v>
      </c>
      <c r="D41" s="10">
        <f t="shared" si="1"/>
        <v>35510.597188144544</v>
      </c>
    </row>
    <row r="42" spans="1:4" x14ac:dyDescent="0.25">
      <c r="A42" s="33" t="s">
        <v>258</v>
      </c>
      <c r="B42" s="34">
        <v>104400</v>
      </c>
      <c r="C42" s="98">
        <f t="shared" si="0"/>
        <v>904.65944483592443</v>
      </c>
      <c r="D42" s="10">
        <f t="shared" si="1"/>
        <v>47223.22302043526</v>
      </c>
    </row>
    <row r="43" spans="1:4" x14ac:dyDescent="0.25">
      <c r="A43" s="33" t="s">
        <v>261</v>
      </c>
      <c r="B43" s="34">
        <v>41895</v>
      </c>
      <c r="C43" s="98">
        <f t="shared" si="0"/>
        <v>904.65944483592443</v>
      </c>
      <c r="D43" s="10">
        <f t="shared" si="1"/>
        <v>18950.353720700528</v>
      </c>
    </row>
    <row r="44" spans="1:4" x14ac:dyDescent="0.25">
      <c r="A44" s="33" t="s">
        <v>183</v>
      </c>
      <c r="B44" s="34">
        <v>168076</v>
      </c>
      <c r="C44" s="98">
        <f t="shared" si="0"/>
        <v>904.65944483592443</v>
      </c>
      <c r="D44" s="10">
        <f t="shared" si="1"/>
        <v>76025.770425121416</v>
      </c>
    </row>
    <row r="45" spans="1:4" x14ac:dyDescent="0.25">
      <c r="A45" s="33" t="s">
        <v>263</v>
      </c>
      <c r="B45" s="34">
        <v>800</v>
      </c>
      <c r="C45" s="98">
        <f t="shared" si="0"/>
        <v>904.65944483592443</v>
      </c>
      <c r="D45" s="10">
        <f t="shared" si="1"/>
        <v>361.86377793436975</v>
      </c>
    </row>
    <row r="46" spans="1:4" x14ac:dyDescent="0.25">
      <c r="A46" s="33" t="s">
        <v>264</v>
      </c>
      <c r="B46" s="34">
        <v>48216</v>
      </c>
      <c r="C46" s="98">
        <f t="shared" si="0"/>
        <v>904.65944483592443</v>
      </c>
      <c r="D46" s="10">
        <f t="shared" si="1"/>
        <v>21809.529896104465</v>
      </c>
    </row>
    <row r="47" spans="1:4" x14ac:dyDescent="0.25">
      <c r="A47" s="33" t="s">
        <v>266</v>
      </c>
      <c r="B47" s="34">
        <v>5763</v>
      </c>
      <c r="C47" s="98">
        <f t="shared" si="0"/>
        <v>904.65944483592443</v>
      </c>
      <c r="D47" s="10">
        <f t="shared" si="1"/>
        <v>2606.7761902947159</v>
      </c>
    </row>
    <row r="48" spans="1:4" x14ac:dyDescent="0.25">
      <c r="A48" s="33" t="s">
        <v>267</v>
      </c>
      <c r="B48" s="34">
        <v>556</v>
      </c>
      <c r="C48" s="98">
        <f t="shared" si="0"/>
        <v>904.65944483592443</v>
      </c>
      <c r="D48" s="10">
        <f t="shared" si="1"/>
        <v>251.495325664387</v>
      </c>
    </row>
    <row r="49" spans="1:4" x14ac:dyDescent="0.25">
      <c r="A49" s="33" t="s">
        <v>184</v>
      </c>
      <c r="B49" s="34">
        <v>251794</v>
      </c>
      <c r="C49" s="98">
        <f t="shared" si="0"/>
        <v>904.65944483592443</v>
      </c>
      <c r="D49" s="10">
        <f t="shared" si="1"/>
        <v>113893.91012650839</v>
      </c>
    </row>
    <row r="50" spans="1:4" x14ac:dyDescent="0.25">
      <c r="A50" s="33" t="s">
        <v>268</v>
      </c>
      <c r="B50" s="34">
        <v>77538</v>
      </c>
      <c r="C50" s="98">
        <f t="shared" si="0"/>
        <v>904.65944483592443</v>
      </c>
      <c r="D50" s="10">
        <f t="shared" si="1"/>
        <v>35072.742016843949</v>
      </c>
    </row>
    <row r="51" spans="1:4" x14ac:dyDescent="0.25">
      <c r="A51" s="33" t="s">
        <v>185</v>
      </c>
      <c r="B51" s="34">
        <v>484678</v>
      </c>
      <c r="C51" s="98">
        <f t="shared" si="0"/>
        <v>904.65944483592443</v>
      </c>
      <c r="D51" s="10">
        <f t="shared" si="1"/>
        <v>219234.26520209308</v>
      </c>
    </row>
    <row r="52" spans="1:4" x14ac:dyDescent="0.25">
      <c r="A52" s="33" t="s">
        <v>270</v>
      </c>
      <c r="B52" s="34">
        <v>125</v>
      </c>
      <c r="C52" s="98">
        <f t="shared" si="0"/>
        <v>904.65944483592443</v>
      </c>
      <c r="D52" s="10">
        <f t="shared" si="1"/>
        <v>56.541215302245277</v>
      </c>
    </row>
    <row r="53" spans="1:4" x14ac:dyDescent="0.25">
      <c r="A53" s="33" t="s">
        <v>272</v>
      </c>
      <c r="B53" s="34">
        <v>43003</v>
      </c>
      <c r="C53" s="98">
        <f t="shared" si="0"/>
        <v>904.65944483592443</v>
      </c>
      <c r="D53" s="10">
        <f t="shared" si="1"/>
        <v>19451.535053139633</v>
      </c>
    </row>
    <row r="54" spans="1:4" x14ac:dyDescent="0.25">
      <c r="A54" s="33" t="s">
        <v>273</v>
      </c>
      <c r="B54" s="34">
        <v>14057</v>
      </c>
      <c r="C54" s="98">
        <f t="shared" si="0"/>
        <v>904.65944483592443</v>
      </c>
      <c r="D54" s="10">
        <f t="shared" si="1"/>
        <v>6358.3989080292949</v>
      </c>
    </row>
    <row r="55" spans="1:4" x14ac:dyDescent="0.25">
      <c r="A55" s="33" t="s">
        <v>186</v>
      </c>
      <c r="B55" s="34">
        <v>108837</v>
      </c>
      <c r="C55" s="98">
        <f t="shared" si="0"/>
        <v>904.65944483592443</v>
      </c>
      <c r="D55" s="10">
        <f t="shared" si="1"/>
        <v>49230.209998803759</v>
      </c>
    </row>
    <row r="56" spans="1:4" x14ac:dyDescent="0.25">
      <c r="A56" s="33" t="s">
        <v>276</v>
      </c>
      <c r="B56" s="34">
        <v>122522</v>
      </c>
      <c r="C56" s="98">
        <f t="shared" si="0"/>
        <v>904.65944483592443</v>
      </c>
      <c r="D56" s="10">
        <f t="shared" si="1"/>
        <v>55420.342250093563</v>
      </c>
    </row>
    <row r="57" spans="1:4" x14ac:dyDescent="0.25">
      <c r="A57" s="33" t="s">
        <v>277</v>
      </c>
      <c r="B57" s="34">
        <v>202</v>
      </c>
      <c r="C57" s="98">
        <f t="shared" si="0"/>
        <v>904.65944483592443</v>
      </c>
      <c r="D57" s="10">
        <f t="shared" si="1"/>
        <v>91.370603928428366</v>
      </c>
    </row>
    <row r="58" spans="1:4" x14ac:dyDescent="0.25">
      <c r="A58" s="33" t="s">
        <v>278</v>
      </c>
      <c r="B58" s="34">
        <v>400</v>
      </c>
      <c r="C58" s="98">
        <f t="shared" si="0"/>
        <v>904.65944483592443</v>
      </c>
      <c r="D58" s="10">
        <f t="shared" si="1"/>
        <v>180.93188896718488</v>
      </c>
    </row>
    <row r="59" spans="1:4" x14ac:dyDescent="0.25">
      <c r="A59" s="33" t="s">
        <v>279</v>
      </c>
      <c r="B59" s="34">
        <v>55496</v>
      </c>
      <c r="C59" s="98">
        <f t="shared" si="0"/>
        <v>904.65944483592443</v>
      </c>
      <c r="D59" s="10">
        <f t="shared" si="1"/>
        <v>25102.490275307231</v>
      </c>
    </row>
    <row r="60" spans="1:4" x14ac:dyDescent="0.25">
      <c r="A60" s="33" t="s">
        <v>188</v>
      </c>
      <c r="B60" s="34">
        <v>2238117</v>
      </c>
      <c r="C60" s="98">
        <f t="shared" si="0"/>
        <v>904.65944483592443</v>
      </c>
      <c r="D60" s="10">
        <f t="shared" si="1"/>
        <v>1012366.8413489223</v>
      </c>
    </row>
    <row r="61" spans="1:4" x14ac:dyDescent="0.25">
      <c r="A61" s="33" t="s">
        <v>284</v>
      </c>
      <c r="B61" s="34">
        <v>37399</v>
      </c>
      <c r="C61" s="98">
        <f t="shared" si="0"/>
        <v>904.65944483592443</v>
      </c>
      <c r="D61" s="10">
        <f t="shared" si="1"/>
        <v>16916.679288709369</v>
      </c>
    </row>
    <row r="62" spans="1:4" x14ac:dyDescent="0.25">
      <c r="A62" s="33" t="s">
        <v>287</v>
      </c>
      <c r="B62" s="34">
        <v>1669</v>
      </c>
      <c r="C62" s="98">
        <f t="shared" si="0"/>
        <v>904.65944483592443</v>
      </c>
      <c r="D62" s="10">
        <f t="shared" si="1"/>
        <v>754.93830671557885</v>
      </c>
    </row>
    <row r="63" spans="1:4" x14ac:dyDescent="0.25">
      <c r="A63" s="33" t="s">
        <v>174</v>
      </c>
      <c r="B63" s="34">
        <v>3049</v>
      </c>
      <c r="C63" s="98">
        <f t="shared" si="0"/>
        <v>904.65944483592443</v>
      </c>
      <c r="D63" s="10">
        <f t="shared" si="1"/>
        <v>1379.1533236523669</v>
      </c>
    </row>
    <row r="64" spans="1:4" x14ac:dyDescent="0.25">
      <c r="A64" s="33" t="s">
        <v>175</v>
      </c>
      <c r="B64" s="34">
        <v>45405</v>
      </c>
      <c r="C64" s="98">
        <f t="shared" si="0"/>
        <v>904.65944483592443</v>
      </c>
      <c r="D64" s="10">
        <f t="shared" si="1"/>
        <v>20538.031046387576</v>
      </c>
    </row>
    <row r="65" spans="1:4" x14ac:dyDescent="0.25">
      <c r="A65" s="33" t="s">
        <v>181</v>
      </c>
      <c r="B65" s="34">
        <v>413092</v>
      </c>
      <c r="C65" s="98">
        <f t="shared" si="0"/>
        <v>904.65944483592443</v>
      </c>
      <c r="D65" s="10">
        <f t="shared" si="1"/>
        <v>186853.78969308085</v>
      </c>
    </row>
    <row r="66" spans="1:4" x14ac:dyDescent="0.25">
      <c r="A66" s="33" t="s">
        <v>174</v>
      </c>
      <c r="B66" s="34">
        <v>-6556</v>
      </c>
      <c r="C66" s="98">
        <f t="shared" si="0"/>
        <v>904.65944483592443</v>
      </c>
      <c r="D66" s="10">
        <f t="shared" si="1"/>
        <v>-2965.4736601721602</v>
      </c>
    </row>
    <row r="67" spans="1:4" x14ac:dyDescent="0.25">
      <c r="A67" s="33" t="s">
        <v>175</v>
      </c>
      <c r="B67" s="34">
        <v>-46691</v>
      </c>
      <c r="C67" s="98">
        <f t="shared" si="0"/>
        <v>904.65944483592443</v>
      </c>
      <c r="D67" s="10">
        <f t="shared" si="1"/>
        <v>-21119.727069417073</v>
      </c>
    </row>
    <row r="68" spans="1:4" x14ac:dyDescent="0.25">
      <c r="A68" s="33" t="s">
        <v>178</v>
      </c>
      <c r="B68" s="34">
        <v>34040.392</v>
      </c>
      <c r="C68" s="98">
        <f t="shared" si="0"/>
        <v>904.65944483592443</v>
      </c>
      <c r="D68" s="10">
        <f t="shared" si="1"/>
        <v>15397.481064358622</v>
      </c>
    </row>
    <row r="69" spans="1:4" x14ac:dyDescent="0.25">
      <c r="A69" s="33" t="s">
        <v>181</v>
      </c>
      <c r="B69" s="34">
        <v>-413000</v>
      </c>
      <c r="C69" s="98">
        <f t="shared" ref="C69:C132" si="2">IF(B69&lt;&gt;0,$H$1,"")</f>
        <v>904.65944483592443</v>
      </c>
      <c r="D69" s="10">
        <f t="shared" ref="D69:D132" si="3">(+B69*C69)/2000</f>
        <v>-186812.17535861841</v>
      </c>
    </row>
    <row r="70" spans="1:4" x14ac:dyDescent="0.25">
      <c r="A70" s="33" t="s">
        <v>194</v>
      </c>
      <c r="B70" s="34">
        <v>-30733</v>
      </c>
      <c r="C70" s="98">
        <f t="shared" si="2"/>
        <v>904.65944483592443</v>
      </c>
      <c r="D70" s="10">
        <f t="shared" si="3"/>
        <v>-13901.449359071232</v>
      </c>
    </row>
    <row r="71" spans="1:4" x14ac:dyDescent="0.25">
      <c r="A71" s="33" t="s">
        <v>195</v>
      </c>
      <c r="B71" s="34">
        <v>-29465</v>
      </c>
      <c r="C71" s="98">
        <f t="shared" si="2"/>
        <v>904.65944483592443</v>
      </c>
      <c r="D71" s="10">
        <f t="shared" si="3"/>
        <v>-13327.895271045256</v>
      </c>
    </row>
    <row r="72" spans="1:4" x14ac:dyDescent="0.25">
      <c r="A72" s="33" t="s">
        <v>198</v>
      </c>
      <c r="B72" s="34">
        <v>-2654</v>
      </c>
      <c r="C72" s="98">
        <f t="shared" si="2"/>
        <v>904.65944483592443</v>
      </c>
      <c r="D72" s="10">
        <f t="shared" si="3"/>
        <v>-1200.4830832972718</v>
      </c>
    </row>
    <row r="73" spans="1:4" x14ac:dyDescent="0.25">
      <c r="A73" s="33" t="s">
        <v>199</v>
      </c>
      <c r="B73" s="34">
        <v>-20616</v>
      </c>
      <c r="C73" s="98">
        <f t="shared" si="2"/>
        <v>904.65944483592443</v>
      </c>
      <c r="D73" s="10">
        <f t="shared" si="3"/>
        <v>-9325.2295573687079</v>
      </c>
    </row>
    <row r="74" spans="1:4" x14ac:dyDescent="0.25">
      <c r="A74" s="33" t="s">
        <v>200</v>
      </c>
      <c r="B74" s="34">
        <v>3622674</v>
      </c>
      <c r="C74" s="98">
        <f t="shared" si="2"/>
        <v>904.65944483592443</v>
      </c>
      <c r="D74" s="10">
        <f t="shared" si="3"/>
        <v>1638643.1248307689</v>
      </c>
    </row>
    <row r="75" spans="1:4" x14ac:dyDescent="0.25">
      <c r="A75" s="33" t="s">
        <v>201</v>
      </c>
      <c r="B75" s="34">
        <v>-148410</v>
      </c>
      <c r="C75" s="98">
        <f t="shared" si="2"/>
        <v>904.65944483592443</v>
      </c>
      <c r="D75" s="10">
        <f t="shared" si="3"/>
        <v>-67130.254104049774</v>
      </c>
    </row>
    <row r="76" spans="1:4" x14ac:dyDescent="0.25">
      <c r="A76" s="33" t="s">
        <v>175</v>
      </c>
      <c r="B76" s="34">
        <v>-84760</v>
      </c>
      <c r="C76" s="98">
        <f t="shared" si="2"/>
        <v>904.65944483592443</v>
      </c>
      <c r="D76" s="10">
        <f t="shared" si="3"/>
        <v>-38339.467272146481</v>
      </c>
    </row>
    <row r="77" spans="1:4" x14ac:dyDescent="0.25">
      <c r="A77" s="33" t="s">
        <v>202</v>
      </c>
      <c r="B77" s="34">
        <v>-1</v>
      </c>
      <c r="C77" s="98">
        <f t="shared" si="2"/>
        <v>904.65944483592443</v>
      </c>
      <c r="D77" s="10">
        <f t="shared" si="3"/>
        <v>-0.45232972241796221</v>
      </c>
    </row>
    <row r="78" spans="1:4" x14ac:dyDescent="0.25">
      <c r="A78" s="33" t="s">
        <v>204</v>
      </c>
      <c r="B78" s="34">
        <v>-800</v>
      </c>
      <c r="C78" s="98">
        <f t="shared" si="2"/>
        <v>904.65944483592443</v>
      </c>
      <c r="D78" s="10">
        <f t="shared" si="3"/>
        <v>-361.86377793436975</v>
      </c>
    </row>
    <row r="79" spans="1:4" x14ac:dyDescent="0.25">
      <c r="A79" s="33" t="s">
        <v>176</v>
      </c>
      <c r="B79" s="34">
        <v>-141861</v>
      </c>
      <c r="C79" s="98">
        <f t="shared" si="2"/>
        <v>904.65944483592443</v>
      </c>
      <c r="D79" s="10">
        <f t="shared" si="3"/>
        <v>-64167.946751934534</v>
      </c>
    </row>
    <row r="80" spans="1:4" x14ac:dyDescent="0.25">
      <c r="A80" s="33" t="s">
        <v>208</v>
      </c>
      <c r="B80" s="34">
        <v>-1600</v>
      </c>
      <c r="C80" s="98">
        <f t="shared" si="2"/>
        <v>904.65944483592443</v>
      </c>
      <c r="D80" s="10">
        <f t="shared" si="3"/>
        <v>-723.7275558687395</v>
      </c>
    </row>
    <row r="81" spans="1:4" x14ac:dyDescent="0.25">
      <c r="A81" s="33" t="s">
        <v>189</v>
      </c>
      <c r="B81" s="34">
        <v>-167241</v>
      </c>
      <c r="C81" s="98">
        <f t="shared" si="2"/>
        <v>904.65944483592443</v>
      </c>
      <c r="D81" s="10">
        <f t="shared" si="3"/>
        <v>-75648.075106902426</v>
      </c>
    </row>
    <row r="82" spans="1:4" x14ac:dyDescent="0.25">
      <c r="A82" s="33" t="s">
        <v>212</v>
      </c>
      <c r="B82" s="34">
        <v>-6320</v>
      </c>
      <c r="C82" s="98">
        <f t="shared" si="2"/>
        <v>904.65944483592443</v>
      </c>
      <c r="D82" s="10">
        <f t="shared" si="3"/>
        <v>-2858.7238456815212</v>
      </c>
    </row>
    <row r="83" spans="1:4" x14ac:dyDescent="0.25">
      <c r="A83" s="33" t="s">
        <v>213</v>
      </c>
      <c r="B83" s="34">
        <v>-8952</v>
      </c>
      <c r="C83" s="98">
        <f t="shared" si="2"/>
        <v>904.65944483592443</v>
      </c>
      <c r="D83" s="10">
        <f t="shared" si="3"/>
        <v>-4049.2556750855979</v>
      </c>
    </row>
    <row r="84" spans="1:4" x14ac:dyDescent="0.25">
      <c r="A84" s="33" t="s">
        <v>214</v>
      </c>
      <c r="B84" s="34">
        <v>-40</v>
      </c>
      <c r="C84" s="98">
        <f t="shared" si="2"/>
        <v>904.65944483592443</v>
      </c>
      <c r="D84" s="10">
        <f t="shared" si="3"/>
        <v>-18.093188896718491</v>
      </c>
    </row>
    <row r="85" spans="1:4" x14ac:dyDescent="0.25">
      <c r="A85" s="33" t="s">
        <v>177</v>
      </c>
      <c r="B85" s="34">
        <v>-50578</v>
      </c>
      <c r="C85" s="98">
        <f t="shared" si="2"/>
        <v>904.65944483592443</v>
      </c>
      <c r="D85" s="10">
        <f t="shared" si="3"/>
        <v>-22877.932700455691</v>
      </c>
    </row>
    <row r="86" spans="1:4" x14ac:dyDescent="0.25">
      <c r="A86" s="33" t="s">
        <v>215</v>
      </c>
      <c r="B86" s="34">
        <v>-9659</v>
      </c>
      <c r="C86" s="98">
        <f t="shared" si="2"/>
        <v>904.65944483592443</v>
      </c>
      <c r="D86" s="10">
        <f t="shared" si="3"/>
        <v>-4369.0527888350971</v>
      </c>
    </row>
    <row r="87" spans="1:4" x14ac:dyDescent="0.25">
      <c r="A87" s="33" t="s">
        <v>217</v>
      </c>
      <c r="B87" s="34">
        <v>-73077</v>
      </c>
      <c r="C87" s="98">
        <f t="shared" si="2"/>
        <v>904.65944483592443</v>
      </c>
      <c r="D87" s="10">
        <f t="shared" si="3"/>
        <v>-33054.899125137425</v>
      </c>
    </row>
    <row r="88" spans="1:4" x14ac:dyDescent="0.25">
      <c r="A88" s="33" t="s">
        <v>179</v>
      </c>
      <c r="B88" s="34">
        <v>-1531</v>
      </c>
      <c r="C88" s="98">
        <f t="shared" si="2"/>
        <v>904.65944483592443</v>
      </c>
      <c r="D88" s="10">
        <f t="shared" si="3"/>
        <v>-692.51680502190015</v>
      </c>
    </row>
    <row r="89" spans="1:4" x14ac:dyDescent="0.25">
      <c r="A89" s="33" t="s">
        <v>219</v>
      </c>
      <c r="B89" s="34">
        <v>-95429</v>
      </c>
      <c r="C89" s="98">
        <f t="shared" si="2"/>
        <v>904.65944483592443</v>
      </c>
      <c r="D89" s="10">
        <f t="shared" si="3"/>
        <v>-43165.373080623714</v>
      </c>
    </row>
    <row r="90" spans="1:4" x14ac:dyDescent="0.25">
      <c r="A90" s="33" t="s">
        <v>221</v>
      </c>
      <c r="B90" s="34">
        <v>567</v>
      </c>
      <c r="C90" s="98">
        <f t="shared" si="2"/>
        <v>904.65944483592443</v>
      </c>
      <c r="D90" s="10">
        <f t="shared" si="3"/>
        <v>256.47095261098457</v>
      </c>
    </row>
    <row r="91" spans="1:4" x14ac:dyDescent="0.25">
      <c r="A91" s="33" t="s">
        <v>223</v>
      </c>
      <c r="B91" s="34">
        <v>-33425</v>
      </c>
      <c r="C91" s="98">
        <f t="shared" si="2"/>
        <v>904.65944483592443</v>
      </c>
      <c r="D91" s="10">
        <f t="shared" si="3"/>
        <v>-15119.120971820388</v>
      </c>
    </row>
    <row r="92" spans="1:4" x14ac:dyDescent="0.25">
      <c r="A92" s="33" t="s">
        <v>190</v>
      </c>
      <c r="B92" s="34">
        <v>-15200</v>
      </c>
      <c r="C92" s="98">
        <f t="shared" si="2"/>
        <v>904.65944483592443</v>
      </c>
      <c r="D92" s="10">
        <f t="shared" si="3"/>
        <v>-6875.4117807530256</v>
      </c>
    </row>
    <row r="93" spans="1:4" x14ac:dyDescent="0.25">
      <c r="A93" s="33" t="s">
        <v>226</v>
      </c>
      <c r="B93" s="34">
        <v>-27856</v>
      </c>
      <c r="C93" s="98">
        <f t="shared" si="2"/>
        <v>904.65944483592443</v>
      </c>
      <c r="D93" s="10">
        <f t="shared" si="3"/>
        <v>-12600.096747674756</v>
      </c>
    </row>
    <row r="94" spans="1:4" x14ac:dyDescent="0.25">
      <c r="A94" s="33" t="s">
        <v>230</v>
      </c>
      <c r="B94" s="34">
        <v>-428020</v>
      </c>
      <c r="C94" s="98">
        <f t="shared" si="2"/>
        <v>904.65944483592443</v>
      </c>
      <c r="D94" s="10">
        <f t="shared" si="3"/>
        <v>-193606.16778933618</v>
      </c>
    </row>
    <row r="95" spans="1:4" x14ac:dyDescent="0.25">
      <c r="A95" s="33" t="s">
        <v>232</v>
      </c>
      <c r="B95" s="34">
        <v>-24625</v>
      </c>
      <c r="C95" s="98">
        <f t="shared" si="2"/>
        <v>904.65944483592443</v>
      </c>
      <c r="D95" s="10">
        <f t="shared" si="3"/>
        <v>-11138.61941454232</v>
      </c>
    </row>
    <row r="96" spans="1:4" x14ac:dyDescent="0.25">
      <c r="A96" s="33" t="s">
        <v>235</v>
      </c>
      <c r="B96" s="34">
        <v>-21600</v>
      </c>
      <c r="C96" s="98">
        <f t="shared" si="2"/>
        <v>904.65944483592443</v>
      </c>
      <c r="D96" s="10">
        <f t="shared" si="3"/>
        <v>-9770.3220042279845</v>
      </c>
    </row>
    <row r="97" spans="1:4" x14ac:dyDescent="0.25">
      <c r="A97" s="33" t="s">
        <v>236</v>
      </c>
      <c r="B97" s="34">
        <v>-47261</v>
      </c>
      <c r="C97" s="98">
        <f t="shared" si="2"/>
        <v>904.65944483592443</v>
      </c>
      <c r="D97" s="10">
        <f t="shared" si="3"/>
        <v>-21377.555011195313</v>
      </c>
    </row>
    <row r="98" spans="1:4" x14ac:dyDescent="0.25">
      <c r="A98" s="33" t="s">
        <v>240</v>
      </c>
      <c r="B98" s="34">
        <v>-1150</v>
      </c>
      <c r="C98" s="98">
        <f t="shared" si="2"/>
        <v>904.65944483592443</v>
      </c>
      <c r="D98" s="10">
        <f t="shared" si="3"/>
        <v>-520.17918078065657</v>
      </c>
    </row>
    <row r="99" spans="1:4" x14ac:dyDescent="0.25">
      <c r="A99" s="33" t="s">
        <v>243</v>
      </c>
      <c r="B99" s="34">
        <v>-18800</v>
      </c>
      <c r="C99" s="98">
        <f t="shared" si="2"/>
        <v>904.65944483592443</v>
      </c>
      <c r="D99" s="10">
        <f t="shared" si="3"/>
        <v>-8503.79878145769</v>
      </c>
    </row>
    <row r="100" spans="1:4" x14ac:dyDescent="0.25">
      <c r="A100" s="33" t="s">
        <v>180</v>
      </c>
      <c r="B100" s="34">
        <v>-586129</v>
      </c>
      <c r="C100" s="98">
        <f t="shared" si="2"/>
        <v>904.65944483592443</v>
      </c>
      <c r="D100" s="10">
        <f t="shared" si="3"/>
        <v>-265123.56787111779</v>
      </c>
    </row>
    <row r="101" spans="1:4" x14ac:dyDescent="0.25">
      <c r="A101" s="33" t="s">
        <v>245</v>
      </c>
      <c r="B101" s="34">
        <v>-482</v>
      </c>
      <c r="C101" s="98">
        <f t="shared" si="2"/>
        <v>904.65944483592443</v>
      </c>
      <c r="D101" s="10">
        <f t="shared" si="3"/>
        <v>-218.02292620545779</v>
      </c>
    </row>
    <row r="102" spans="1:4" x14ac:dyDescent="0.25">
      <c r="A102" s="33" t="s">
        <v>246</v>
      </c>
      <c r="B102" s="34">
        <v>-30</v>
      </c>
      <c r="C102" s="98">
        <f t="shared" si="2"/>
        <v>904.65944483592443</v>
      </c>
      <c r="D102" s="10">
        <f t="shared" si="3"/>
        <v>-13.569891672538866</v>
      </c>
    </row>
    <row r="103" spans="1:4" x14ac:dyDescent="0.25">
      <c r="A103" s="33" t="s">
        <v>248</v>
      </c>
      <c r="B103" s="34">
        <v>-9250</v>
      </c>
      <c r="C103" s="98">
        <f t="shared" si="2"/>
        <v>904.65944483592443</v>
      </c>
      <c r="D103" s="10">
        <f t="shared" si="3"/>
        <v>-4184.0499323661506</v>
      </c>
    </row>
    <row r="104" spans="1:4" x14ac:dyDescent="0.25">
      <c r="A104" s="33" t="s">
        <v>249</v>
      </c>
      <c r="B104" s="34">
        <v>-800</v>
      </c>
      <c r="C104" s="98">
        <f t="shared" si="2"/>
        <v>904.65944483592443</v>
      </c>
      <c r="D104" s="10">
        <f t="shared" si="3"/>
        <v>-361.86377793436975</v>
      </c>
    </row>
    <row r="105" spans="1:4" x14ac:dyDescent="0.25">
      <c r="A105" s="33" t="s">
        <v>250</v>
      </c>
      <c r="B105" s="34">
        <v>-3388</v>
      </c>
      <c r="C105" s="98">
        <f t="shared" si="2"/>
        <v>904.65944483592443</v>
      </c>
      <c r="D105" s="10">
        <f t="shared" si="3"/>
        <v>-1532.493099552056</v>
      </c>
    </row>
    <row r="106" spans="1:4" x14ac:dyDescent="0.25">
      <c r="A106" s="33" t="s">
        <v>251</v>
      </c>
      <c r="B106" s="34">
        <v>-7683</v>
      </c>
      <c r="C106" s="98">
        <f t="shared" si="2"/>
        <v>904.65944483592443</v>
      </c>
      <c r="D106" s="10">
        <f t="shared" si="3"/>
        <v>-3475.2492573372037</v>
      </c>
    </row>
    <row r="107" spans="1:4" x14ac:dyDescent="0.25">
      <c r="A107" s="33" t="s">
        <v>252</v>
      </c>
      <c r="B107" s="34">
        <v>-56370</v>
      </c>
      <c r="C107" s="98">
        <f t="shared" si="2"/>
        <v>904.65944483592443</v>
      </c>
      <c r="D107" s="10">
        <f t="shared" si="3"/>
        <v>-25497.82645270053</v>
      </c>
    </row>
    <row r="108" spans="1:4" x14ac:dyDescent="0.25">
      <c r="A108" s="33" t="s">
        <v>254</v>
      </c>
      <c r="B108" s="34">
        <v>-855</v>
      </c>
      <c r="C108" s="98">
        <f t="shared" si="2"/>
        <v>904.65944483592443</v>
      </c>
      <c r="D108" s="10">
        <f t="shared" si="3"/>
        <v>-386.74191266735772</v>
      </c>
    </row>
    <row r="109" spans="1:4" x14ac:dyDescent="0.25">
      <c r="A109" s="33" t="s">
        <v>255</v>
      </c>
      <c r="B109" s="34">
        <v>-1655</v>
      </c>
      <c r="C109" s="98">
        <f t="shared" si="2"/>
        <v>904.65944483592443</v>
      </c>
      <c r="D109" s="10">
        <f t="shared" si="3"/>
        <v>-748.60569060172747</v>
      </c>
    </row>
    <row r="110" spans="1:4" x14ac:dyDescent="0.25">
      <c r="A110" s="33" t="s">
        <v>256</v>
      </c>
      <c r="B110" s="34">
        <v>-57339</v>
      </c>
      <c r="C110" s="98">
        <f t="shared" si="2"/>
        <v>904.65944483592443</v>
      </c>
      <c r="D110" s="10">
        <f t="shared" si="3"/>
        <v>-25936.133953723536</v>
      </c>
    </row>
    <row r="111" spans="1:4" x14ac:dyDescent="0.25">
      <c r="A111" s="33" t="s">
        <v>257</v>
      </c>
      <c r="B111" s="34">
        <v>-246935</v>
      </c>
      <c r="C111" s="98">
        <f t="shared" si="2"/>
        <v>904.65944483592443</v>
      </c>
      <c r="D111" s="10">
        <f t="shared" si="3"/>
        <v>-111696.0400052795</v>
      </c>
    </row>
    <row r="112" spans="1:4" x14ac:dyDescent="0.25">
      <c r="A112" s="33" t="s">
        <v>258</v>
      </c>
      <c r="B112" s="34">
        <v>-790398</v>
      </c>
      <c r="C112" s="98">
        <f t="shared" si="2"/>
        <v>904.65944483592443</v>
      </c>
      <c r="D112" s="10">
        <f t="shared" si="3"/>
        <v>-357520.50793971255</v>
      </c>
    </row>
    <row r="113" spans="1:4" x14ac:dyDescent="0.25">
      <c r="A113" s="33" t="s">
        <v>261</v>
      </c>
      <c r="B113" s="34">
        <v>-251716</v>
      </c>
      <c r="C113" s="98">
        <f t="shared" si="2"/>
        <v>904.65944483592443</v>
      </c>
      <c r="D113" s="10">
        <f t="shared" si="3"/>
        <v>-113858.62840815978</v>
      </c>
    </row>
    <row r="114" spans="1:4" x14ac:dyDescent="0.25">
      <c r="A114" s="33" t="s">
        <v>183</v>
      </c>
      <c r="B114" s="34">
        <v>-294366</v>
      </c>
      <c r="C114" s="98">
        <f t="shared" si="2"/>
        <v>904.65944483592443</v>
      </c>
      <c r="D114" s="10">
        <f t="shared" si="3"/>
        <v>-133150.49106928587</v>
      </c>
    </row>
    <row r="115" spans="1:4" x14ac:dyDescent="0.25">
      <c r="A115" s="33" t="s">
        <v>263</v>
      </c>
      <c r="B115" s="34">
        <v>-1600</v>
      </c>
      <c r="C115" s="98">
        <f t="shared" si="2"/>
        <v>904.65944483592443</v>
      </c>
      <c r="D115" s="10">
        <f t="shared" si="3"/>
        <v>-723.7275558687395</v>
      </c>
    </row>
    <row r="116" spans="1:4" x14ac:dyDescent="0.25">
      <c r="A116" s="33" t="s">
        <v>264</v>
      </c>
      <c r="B116" s="34">
        <v>-69776</v>
      </c>
      <c r="C116" s="98">
        <f t="shared" si="2"/>
        <v>904.65944483592443</v>
      </c>
      <c r="D116" s="10">
        <f t="shared" si="3"/>
        <v>-31561.75871143573</v>
      </c>
    </row>
    <row r="117" spans="1:4" x14ac:dyDescent="0.25">
      <c r="A117" s="33" t="s">
        <v>265</v>
      </c>
      <c r="B117" s="34">
        <v>-69</v>
      </c>
      <c r="C117" s="98">
        <f t="shared" si="2"/>
        <v>904.65944483592443</v>
      </c>
      <c r="D117" s="10">
        <f t="shared" si="3"/>
        <v>-31.210750846839392</v>
      </c>
    </row>
    <row r="118" spans="1:4" x14ac:dyDescent="0.25">
      <c r="A118" s="33" t="s">
        <v>266</v>
      </c>
      <c r="B118" s="34">
        <v>-28531</v>
      </c>
      <c r="C118" s="98">
        <f t="shared" si="2"/>
        <v>904.65944483592443</v>
      </c>
      <c r="D118" s="10">
        <f t="shared" si="3"/>
        <v>-12905.419310306881</v>
      </c>
    </row>
    <row r="119" spans="1:4" x14ac:dyDescent="0.25">
      <c r="A119" s="33" t="s">
        <v>267</v>
      </c>
      <c r="B119" s="34">
        <v>-22412</v>
      </c>
      <c r="C119" s="98">
        <f t="shared" si="2"/>
        <v>904.65944483592443</v>
      </c>
      <c r="D119" s="10">
        <f t="shared" si="3"/>
        <v>-10137.613738831369</v>
      </c>
    </row>
    <row r="120" spans="1:4" x14ac:dyDescent="0.25">
      <c r="A120" s="33" t="s">
        <v>184</v>
      </c>
      <c r="B120" s="34">
        <v>-23444</v>
      </c>
      <c r="C120" s="98">
        <f t="shared" si="2"/>
        <v>904.65944483592443</v>
      </c>
      <c r="D120" s="10">
        <f t="shared" si="3"/>
        <v>-10604.418012366707</v>
      </c>
    </row>
    <row r="121" spans="1:4" x14ac:dyDescent="0.25">
      <c r="A121" s="33" t="s">
        <v>185</v>
      </c>
      <c r="B121" s="34">
        <v>-457267</v>
      </c>
      <c r="C121" s="98">
        <f t="shared" si="2"/>
        <v>904.65944483592443</v>
      </c>
      <c r="D121" s="10">
        <f t="shared" si="3"/>
        <v>-206835.45518089432</v>
      </c>
    </row>
    <row r="122" spans="1:4" x14ac:dyDescent="0.25">
      <c r="A122" s="33" t="s">
        <v>270</v>
      </c>
      <c r="B122" s="34">
        <v>-14123</v>
      </c>
      <c r="C122" s="98">
        <f t="shared" si="2"/>
        <v>904.65944483592443</v>
      </c>
      <c r="D122" s="10">
        <f t="shared" si="3"/>
        <v>-6388.2526697088806</v>
      </c>
    </row>
    <row r="123" spans="1:4" x14ac:dyDescent="0.25">
      <c r="A123" s="33" t="s">
        <v>272</v>
      </c>
      <c r="B123" s="34">
        <v>-9938</v>
      </c>
      <c r="C123" s="98">
        <f t="shared" si="2"/>
        <v>904.65944483592443</v>
      </c>
      <c r="D123" s="10">
        <f t="shared" si="3"/>
        <v>-4495.2527813897086</v>
      </c>
    </row>
    <row r="124" spans="1:4" x14ac:dyDescent="0.25">
      <c r="A124" s="33" t="s">
        <v>273</v>
      </c>
      <c r="B124" s="34">
        <v>-526126</v>
      </c>
      <c r="C124" s="98">
        <f t="shared" si="2"/>
        <v>904.65944483592443</v>
      </c>
      <c r="D124" s="10">
        <f t="shared" si="3"/>
        <v>-237982.42753687277</v>
      </c>
    </row>
    <row r="125" spans="1:4" x14ac:dyDescent="0.25">
      <c r="A125" s="33" t="s">
        <v>186</v>
      </c>
      <c r="B125" s="34">
        <v>-19779</v>
      </c>
      <c r="C125" s="98">
        <f t="shared" si="2"/>
        <v>904.65944483592443</v>
      </c>
      <c r="D125" s="10">
        <f t="shared" si="3"/>
        <v>-8946.6295797048751</v>
      </c>
    </row>
    <row r="126" spans="1:4" x14ac:dyDescent="0.25">
      <c r="A126" s="33" t="s">
        <v>276</v>
      </c>
      <c r="B126" s="34">
        <v>-185885</v>
      </c>
      <c r="C126" s="98">
        <f t="shared" si="2"/>
        <v>904.65944483592443</v>
      </c>
      <c r="D126" s="10">
        <f t="shared" si="3"/>
        <v>-84081.31045166291</v>
      </c>
    </row>
    <row r="127" spans="1:4" x14ac:dyDescent="0.25">
      <c r="A127" s="33" t="s">
        <v>278</v>
      </c>
      <c r="B127" s="34">
        <v>-3600</v>
      </c>
      <c r="C127" s="98">
        <f t="shared" si="2"/>
        <v>904.65944483592443</v>
      </c>
      <c r="D127" s="10">
        <f t="shared" si="3"/>
        <v>-1628.3870007046639</v>
      </c>
    </row>
    <row r="128" spans="1:4" x14ac:dyDescent="0.25">
      <c r="A128" s="33" t="s">
        <v>279</v>
      </c>
      <c r="B128" s="34">
        <v>-19100</v>
      </c>
      <c r="C128" s="98">
        <f t="shared" si="2"/>
        <v>904.65944483592443</v>
      </c>
      <c r="D128" s="10">
        <f t="shared" si="3"/>
        <v>-8639.4976981830787</v>
      </c>
    </row>
    <row r="129" spans="1:4" x14ac:dyDescent="0.25">
      <c r="A129" s="33" t="s">
        <v>188</v>
      </c>
      <c r="B129" s="34">
        <v>-212919</v>
      </c>
      <c r="C129" s="98">
        <f t="shared" si="2"/>
        <v>904.65944483592443</v>
      </c>
      <c r="D129" s="10">
        <f t="shared" si="3"/>
        <v>-96309.592167510098</v>
      </c>
    </row>
    <row r="130" spans="1:4" x14ac:dyDescent="0.25">
      <c r="A130" s="33" t="s">
        <v>281</v>
      </c>
      <c r="B130" s="34">
        <v>-14806</v>
      </c>
      <c r="C130" s="98">
        <f t="shared" si="2"/>
        <v>904.65944483592443</v>
      </c>
      <c r="D130" s="10">
        <f t="shared" si="3"/>
        <v>-6697.193870120348</v>
      </c>
    </row>
    <row r="131" spans="1:4" x14ac:dyDescent="0.25">
      <c r="A131" s="33" t="s">
        <v>284</v>
      </c>
      <c r="B131" s="34">
        <v>-24869</v>
      </c>
      <c r="C131" s="98">
        <f t="shared" si="2"/>
        <v>904.65944483592443</v>
      </c>
      <c r="D131" s="10">
        <f t="shared" si="3"/>
        <v>-11248.987866812302</v>
      </c>
    </row>
    <row r="132" spans="1:4" x14ac:dyDescent="0.25">
      <c r="A132" s="33" t="s">
        <v>287</v>
      </c>
      <c r="B132" s="34">
        <v>-1265</v>
      </c>
      <c r="C132" s="98">
        <f t="shared" si="2"/>
        <v>904.65944483592443</v>
      </c>
      <c r="D132" s="10">
        <f t="shared" si="3"/>
        <v>-572.19709885872226</v>
      </c>
    </row>
    <row r="133" spans="1:4" x14ac:dyDescent="0.25">
      <c r="A133" s="33"/>
      <c r="B133" s="34"/>
      <c r="C133" s="98"/>
      <c r="D133" s="10"/>
    </row>
    <row r="134" spans="1:4" ht="15.75" thickBot="1" x14ac:dyDescent="0.3">
      <c r="A134" s="36"/>
      <c r="B134" s="37"/>
      <c r="C134" s="15"/>
      <c r="D134" s="16"/>
    </row>
    <row r="135" spans="1:4" ht="16.5" thickTop="1" thickBot="1" x14ac:dyDescent="0.3">
      <c r="A135" s="13"/>
      <c r="B135" s="96">
        <f>SUM(B4:B134)</f>
        <v>6774737.6720000021</v>
      </c>
      <c r="C135" s="14"/>
      <c r="D135" s="97">
        <f>SUM(D4:D134)</f>
        <v>3064415.2106302725</v>
      </c>
    </row>
  </sheetData>
  <hyperlinks>
    <hyperlink ref="D1" r:id="rId1"/>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2010</v>
      </c>
      <c r="D4" s="72" t="s">
        <v>40</v>
      </c>
      <c r="E4" s="68"/>
    </row>
    <row r="5" spans="1:7" thickBot="1" x14ac:dyDescent="0.35">
      <c r="A5" s="238" t="s">
        <v>21</v>
      </c>
      <c r="B5" s="239"/>
      <c r="C5" s="78">
        <f>+F10*'Census Stats'!$L$38</f>
        <v>2374059.1947814561</v>
      </c>
      <c r="D5" s="66">
        <f>+D13/C5</f>
        <v>8.856740828627732</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10672888</v>
      </c>
      <c r="E10" s="19">
        <f>+D10/D13</f>
        <v>0.50759399112364645</v>
      </c>
      <c r="F10" s="42">
        <v>952802</v>
      </c>
      <c r="G10" s="58">
        <f>+D10/F10</f>
        <v>11.201580181401802</v>
      </c>
    </row>
    <row r="11" spans="1:7" ht="14.45" x14ac:dyDescent="0.3">
      <c r="A11" s="235" t="s">
        <v>17</v>
      </c>
      <c r="B11" s="236"/>
      <c r="C11" s="237"/>
      <c r="D11" s="70">
        <f>92433+9100520</f>
        <v>9192953</v>
      </c>
      <c r="E11" s="19">
        <f>+D11/D13</f>
        <v>0.43720946977819863</v>
      </c>
      <c r="F11" s="34">
        <f>118596+3419</f>
        <v>122015</v>
      </c>
      <c r="G11" s="58">
        <f>+D11/F11</f>
        <v>75.342810310207767</v>
      </c>
    </row>
    <row r="12" spans="1:7" ht="14.45" x14ac:dyDescent="0.3">
      <c r="A12" s="235" t="s">
        <v>18</v>
      </c>
      <c r="B12" s="236"/>
      <c r="C12" s="237"/>
      <c r="D12" s="70">
        <v>1160586</v>
      </c>
      <c r="E12" s="19">
        <f>+D12/D13</f>
        <v>5.5196539098154911E-2</v>
      </c>
      <c r="F12" s="6"/>
      <c r="G12" s="47"/>
    </row>
    <row r="13" spans="1:7" thickBot="1" x14ac:dyDescent="0.35">
      <c r="A13" s="48"/>
      <c r="B13" s="240" t="s">
        <v>13</v>
      </c>
      <c r="C13" s="239"/>
      <c r="D13" s="71">
        <f>SUM(D10:D12)</f>
        <v>21026427</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'2010 Known'!B55</f>
        <v>19409090.795000002</v>
      </c>
      <c r="E18" s="19">
        <f>+D18/(D18+D19)</f>
        <v>0.85902698385860532</v>
      </c>
      <c r="F18" s="10">
        <f>'2010 Known'!D55</f>
        <v>10411371.047643386</v>
      </c>
      <c r="G18" s="47"/>
    </row>
    <row r="19" spans="1:8" ht="18" x14ac:dyDescent="0.35">
      <c r="A19" s="235" t="s">
        <v>34</v>
      </c>
      <c r="B19" s="236"/>
      <c r="C19" s="237"/>
      <c r="D19" s="59">
        <f>'2010 Unknown'!B136</f>
        <v>3185182.9120000005</v>
      </c>
      <c r="E19" s="60">
        <f>+D19/(D18+D19)</f>
        <v>0.14097301614139468</v>
      </c>
      <c r="F19" s="74">
        <f>'2010 Unknown'!D136</f>
        <v>1897917.2298310385</v>
      </c>
      <c r="G19" s="76" t="s">
        <v>39</v>
      </c>
    </row>
    <row r="20" spans="1:8" ht="18.75" thickBot="1" x14ac:dyDescent="0.4">
      <c r="A20" s="48"/>
      <c r="B20" s="50"/>
      <c r="C20" s="50"/>
      <c r="D20" s="73">
        <f>+C4</f>
        <v>2010</v>
      </c>
      <c r="E20" s="55" t="s">
        <v>4</v>
      </c>
      <c r="F20" s="75">
        <f>SUM(F18:F19)</f>
        <v>12309288.277474424</v>
      </c>
      <c r="G20" s="77">
        <f>+F20/G22</f>
        <v>1.7721242242332382</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C36" sqref="C36"/>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2010</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88025.31</v>
      </c>
      <c r="C4" s="34">
        <v>0</v>
      </c>
      <c r="D4" s="10">
        <v>0</v>
      </c>
    </row>
    <row r="5" spans="1:5" x14ac:dyDescent="0.25">
      <c r="A5" s="33" t="s">
        <v>294</v>
      </c>
      <c r="B5" s="34">
        <v>366338.20400000003</v>
      </c>
      <c r="C5" s="34">
        <v>0</v>
      </c>
      <c r="D5" s="10">
        <v>0</v>
      </c>
    </row>
    <row r="6" spans="1:5" x14ac:dyDescent="0.25">
      <c r="A6" s="33" t="s">
        <v>295</v>
      </c>
      <c r="B6" s="34">
        <v>13051.4</v>
      </c>
      <c r="C6" s="34">
        <v>0</v>
      </c>
      <c r="D6" s="10">
        <v>0</v>
      </c>
    </row>
    <row r="7" spans="1:5" x14ac:dyDescent="0.25">
      <c r="A7" s="33" t="s">
        <v>296</v>
      </c>
      <c r="B7" s="34">
        <v>101676.9</v>
      </c>
      <c r="C7" s="34">
        <v>0</v>
      </c>
      <c r="D7" s="10">
        <v>0</v>
      </c>
    </row>
    <row r="8" spans="1:5" x14ac:dyDescent="0.25">
      <c r="A8" s="33" t="s">
        <v>297</v>
      </c>
      <c r="B8" s="34">
        <v>360504.88400000002</v>
      </c>
      <c r="C8" s="34">
        <v>0</v>
      </c>
      <c r="D8" s="10">
        <v>0</v>
      </c>
    </row>
    <row r="9" spans="1:5" x14ac:dyDescent="0.25">
      <c r="A9" s="33" t="s">
        <v>312</v>
      </c>
      <c r="B9" s="34">
        <v>2293375</v>
      </c>
      <c r="C9" s="34">
        <v>2459.3791415279557</v>
      </c>
      <c r="D9" s="10">
        <v>2820139.3193508377</v>
      </c>
    </row>
    <row r="10" spans="1:5" x14ac:dyDescent="0.25">
      <c r="A10" s="33" t="s">
        <v>313</v>
      </c>
      <c r="B10" s="34">
        <v>2904730</v>
      </c>
      <c r="C10" s="34">
        <v>2253.7140624002409</v>
      </c>
      <c r="D10" s="10">
        <v>3273215.424237926</v>
      </c>
    </row>
    <row r="11" spans="1:5" x14ac:dyDescent="0.25">
      <c r="A11" s="33" t="s">
        <v>299</v>
      </c>
      <c r="B11" s="34">
        <v>197771.9</v>
      </c>
      <c r="C11" s="34">
        <v>1048.0399821103836</v>
      </c>
      <c r="D11" s="10">
        <v>103636.42926896828</v>
      </c>
    </row>
    <row r="12" spans="1:5" x14ac:dyDescent="0.25">
      <c r="A12" s="33" t="s">
        <v>301</v>
      </c>
      <c r="B12" s="34">
        <v>418445.701</v>
      </c>
      <c r="C12" s="34">
        <v>852.04390676417449</v>
      </c>
      <c r="D12" s="10">
        <v>178267.05492435681</v>
      </c>
    </row>
    <row r="13" spans="1:5" x14ac:dyDescent="0.25">
      <c r="A13" s="33" t="s">
        <v>305</v>
      </c>
      <c r="B13" s="34">
        <v>1541236</v>
      </c>
      <c r="C13" s="34">
        <v>802.12478285881059</v>
      </c>
      <c r="D13" s="10">
        <v>618131.79591709084</v>
      </c>
    </row>
    <row r="14" spans="1:5" x14ac:dyDescent="0.25">
      <c r="A14" s="33" t="s">
        <v>308</v>
      </c>
      <c r="B14" s="34">
        <v>1441302.4</v>
      </c>
      <c r="C14" s="34">
        <v>853.14312133657666</v>
      </c>
      <c r="D14" s="10">
        <v>614818.61416294961</v>
      </c>
    </row>
    <row r="15" spans="1:5" x14ac:dyDescent="0.25">
      <c r="A15" s="33" t="s">
        <v>309</v>
      </c>
      <c r="B15" s="34">
        <v>410625.5</v>
      </c>
      <c r="C15" s="34">
        <v>1003.9238425075457</v>
      </c>
      <c r="D15" s="10">
        <v>206118.36489579111</v>
      </c>
    </row>
    <row r="16" spans="1:5" x14ac:dyDescent="0.25">
      <c r="A16" s="33" t="s">
        <v>298</v>
      </c>
      <c r="B16" s="34">
        <v>113.77</v>
      </c>
      <c r="C16" s="34">
        <v>2093.3542823985194</v>
      </c>
      <c r="D16" s="10">
        <v>119.08045835423978</v>
      </c>
    </row>
    <row r="17" spans="1:4" x14ac:dyDescent="0.25">
      <c r="A17" s="33" t="s">
        <v>302</v>
      </c>
      <c r="B17" s="34">
        <v>11884.6</v>
      </c>
      <c r="C17" s="34">
        <v>1778.949592432009</v>
      </c>
      <c r="D17" s="10">
        <v>10571.052163108727</v>
      </c>
    </row>
    <row r="18" spans="1:4" x14ac:dyDescent="0.25">
      <c r="A18" s="33" t="s">
        <v>303</v>
      </c>
      <c r="B18" s="34">
        <v>62288.3</v>
      </c>
      <c r="C18" s="34">
        <v>1250.8379732879328</v>
      </c>
      <c r="D18" s="10">
        <v>38956.285465775371</v>
      </c>
    </row>
    <row r="19" spans="1:4" x14ac:dyDescent="0.25">
      <c r="A19" s="33" t="s">
        <v>304</v>
      </c>
      <c r="B19" s="34">
        <v>10272.1</v>
      </c>
      <c r="C19" s="34">
        <v>2012.6363069602537</v>
      </c>
      <c r="D19" s="10">
        <v>10337.000704363212</v>
      </c>
    </row>
    <row r="20" spans="1:4" x14ac:dyDescent="0.25">
      <c r="A20" s="33" t="s">
        <v>306</v>
      </c>
      <c r="B20" s="34">
        <v>381270.98800000001</v>
      </c>
      <c r="C20" s="34">
        <v>0</v>
      </c>
      <c r="D20" s="10">
        <v>0</v>
      </c>
    </row>
    <row r="21" spans="1:4" x14ac:dyDescent="0.25">
      <c r="A21" s="33" t="s">
        <v>310</v>
      </c>
      <c r="B21" s="34">
        <v>8366.7000000000007</v>
      </c>
      <c r="C21" s="34">
        <v>1870.3544180877277</v>
      </c>
      <c r="D21" s="10">
        <v>7824.3471549072965</v>
      </c>
    </row>
    <row r="22" spans="1:4" x14ac:dyDescent="0.25">
      <c r="A22" s="33" t="s">
        <v>311</v>
      </c>
      <c r="B22" s="34">
        <v>609654.95499999996</v>
      </c>
      <c r="C22" s="34">
        <v>0</v>
      </c>
      <c r="D22" s="10">
        <v>0</v>
      </c>
    </row>
    <row r="23" spans="1:4" x14ac:dyDescent="0.25">
      <c r="A23" s="33" t="s">
        <v>315</v>
      </c>
      <c r="B23" s="34">
        <v>20921</v>
      </c>
      <c r="C23" s="34">
        <v>842.57929999999999</v>
      </c>
      <c r="D23" s="10">
        <v>8813.8007676500001</v>
      </c>
    </row>
    <row r="24" spans="1:4" x14ac:dyDescent="0.25">
      <c r="A24" s="33" t="s">
        <v>200</v>
      </c>
      <c r="B24" s="34">
        <v>-753803</v>
      </c>
      <c r="C24" s="34">
        <v>0</v>
      </c>
      <c r="D24" s="10">
        <v>0</v>
      </c>
    </row>
    <row r="25" spans="1:4" x14ac:dyDescent="0.25">
      <c r="A25" s="33" t="s">
        <v>175</v>
      </c>
      <c r="B25" s="34">
        <v>7000</v>
      </c>
      <c r="C25" s="34">
        <v>0</v>
      </c>
      <c r="D25" s="10">
        <v>0</v>
      </c>
    </row>
    <row r="26" spans="1:4" x14ac:dyDescent="0.25">
      <c r="A26" s="33" t="s">
        <v>318</v>
      </c>
      <c r="B26" s="34">
        <v>406710</v>
      </c>
      <c r="C26" s="34">
        <v>842.57929999999999</v>
      </c>
      <c r="D26" s="10">
        <v>171342.7135515</v>
      </c>
    </row>
    <row r="27" spans="1:4" x14ac:dyDescent="0.25">
      <c r="A27" s="33" t="s">
        <v>321</v>
      </c>
      <c r="B27" s="34">
        <v>1213235</v>
      </c>
      <c r="C27" s="34">
        <v>0</v>
      </c>
      <c r="D27" s="10">
        <v>0</v>
      </c>
    </row>
    <row r="28" spans="1:4" x14ac:dyDescent="0.25">
      <c r="A28" s="33" t="s">
        <v>322</v>
      </c>
      <c r="B28" s="34">
        <v>1914094</v>
      </c>
      <c r="C28" s="34">
        <v>0</v>
      </c>
      <c r="D28" s="10">
        <v>0</v>
      </c>
    </row>
    <row r="29" spans="1:4" x14ac:dyDescent="0.25">
      <c r="A29" s="33" t="s">
        <v>216</v>
      </c>
      <c r="B29" s="34">
        <v>107950</v>
      </c>
      <c r="C29" s="34">
        <v>842.57929999999999</v>
      </c>
      <c r="D29" s="10">
        <v>45478.217717500003</v>
      </c>
    </row>
    <row r="30" spans="1:4" x14ac:dyDescent="0.25">
      <c r="A30" s="33" t="s">
        <v>323</v>
      </c>
      <c r="B30" s="34">
        <v>871104</v>
      </c>
      <c r="C30" s="34">
        <v>0</v>
      </c>
      <c r="D30" s="10">
        <v>0</v>
      </c>
    </row>
    <row r="31" spans="1:4" x14ac:dyDescent="0.25">
      <c r="A31" s="33" t="s">
        <v>325</v>
      </c>
      <c r="B31" s="34">
        <v>204.023</v>
      </c>
      <c r="C31" s="34">
        <v>0</v>
      </c>
      <c r="D31" s="10">
        <v>0</v>
      </c>
    </row>
    <row r="32" spans="1:4" x14ac:dyDescent="0.25">
      <c r="A32" s="33" t="s">
        <v>326</v>
      </c>
      <c r="B32" s="34">
        <v>4873.87</v>
      </c>
      <c r="C32" s="34">
        <v>0</v>
      </c>
      <c r="D32" s="10">
        <v>0</v>
      </c>
    </row>
    <row r="33" spans="1:4" x14ac:dyDescent="0.25">
      <c r="A33" s="33" t="s">
        <v>328</v>
      </c>
      <c r="B33" s="34">
        <v>331731</v>
      </c>
      <c r="C33" s="34">
        <v>0</v>
      </c>
      <c r="D33" s="10">
        <v>0</v>
      </c>
    </row>
    <row r="34" spans="1:4" x14ac:dyDescent="0.25">
      <c r="A34" s="33" t="s">
        <v>332</v>
      </c>
      <c r="B34" s="34">
        <v>120632</v>
      </c>
      <c r="C34" s="34">
        <v>0</v>
      </c>
      <c r="D34" s="10">
        <v>0</v>
      </c>
    </row>
    <row r="35" spans="1:4" x14ac:dyDescent="0.25">
      <c r="A35" s="33" t="s">
        <v>334</v>
      </c>
      <c r="B35" s="34">
        <v>788313</v>
      </c>
      <c r="C35" s="34">
        <v>2156.77257820159</v>
      </c>
      <c r="D35" s="10">
        <f>C35*B35/2000</f>
        <v>850105.93071991508</v>
      </c>
    </row>
    <row r="36" spans="1:4" x14ac:dyDescent="0.25">
      <c r="A36" s="35" t="s">
        <v>183</v>
      </c>
      <c r="B36" s="34">
        <v>179999</v>
      </c>
      <c r="C36" s="34">
        <v>842.57929999999999</v>
      </c>
      <c r="D36" s="10">
        <v>75831.715710349992</v>
      </c>
    </row>
    <row r="37" spans="1:4" x14ac:dyDescent="0.25">
      <c r="A37" s="35" t="s">
        <v>335</v>
      </c>
      <c r="B37" s="34">
        <v>3520</v>
      </c>
      <c r="C37" s="34">
        <v>0</v>
      </c>
      <c r="D37" s="10">
        <v>0</v>
      </c>
    </row>
    <row r="38" spans="1:4" x14ac:dyDescent="0.25">
      <c r="A38" s="35" t="s">
        <v>268</v>
      </c>
      <c r="B38" s="34">
        <v>547795</v>
      </c>
      <c r="C38" s="34">
        <v>842.57929999999999</v>
      </c>
      <c r="D38" s="10">
        <v>230780.36382174998</v>
      </c>
    </row>
    <row r="39" spans="1:4" x14ac:dyDescent="0.25">
      <c r="A39" s="35" t="s">
        <v>185</v>
      </c>
      <c r="B39" s="34">
        <v>330050</v>
      </c>
      <c r="C39" s="34">
        <v>842.57929999999999</v>
      </c>
      <c r="D39" s="10">
        <v>139046.64898249999</v>
      </c>
    </row>
    <row r="40" spans="1:4" x14ac:dyDescent="0.25">
      <c r="A40" s="35" t="s">
        <v>339</v>
      </c>
      <c r="B40" s="34">
        <v>14464</v>
      </c>
      <c r="C40" s="34">
        <v>842.57929999999999</v>
      </c>
      <c r="D40" s="10">
        <v>6093.5334976000004</v>
      </c>
    </row>
    <row r="41" spans="1:4" x14ac:dyDescent="0.25">
      <c r="A41" s="35" t="s">
        <v>343</v>
      </c>
      <c r="B41" s="34">
        <v>2551.8000000000002</v>
      </c>
      <c r="C41" s="34">
        <v>0</v>
      </c>
      <c r="D41" s="10">
        <v>0</v>
      </c>
    </row>
    <row r="42" spans="1:4" x14ac:dyDescent="0.25">
      <c r="A42" s="35" t="s">
        <v>344</v>
      </c>
      <c r="B42" s="34">
        <v>40782</v>
      </c>
      <c r="C42" s="34">
        <v>0</v>
      </c>
      <c r="D42" s="10">
        <v>0</v>
      </c>
    </row>
    <row r="43" spans="1:4" x14ac:dyDescent="0.25">
      <c r="A43" s="35" t="s">
        <v>348</v>
      </c>
      <c r="B43" s="34">
        <v>1106.72</v>
      </c>
      <c r="C43" s="34">
        <v>0</v>
      </c>
      <c r="D43" s="10">
        <v>0</v>
      </c>
    </row>
    <row r="44" spans="1:4" x14ac:dyDescent="0.25">
      <c r="A44" s="35" t="s">
        <v>349</v>
      </c>
      <c r="B44" s="34">
        <v>42708.480000000003</v>
      </c>
      <c r="C44" s="34">
        <v>0</v>
      </c>
      <c r="D44" s="10">
        <v>0</v>
      </c>
    </row>
    <row r="45" spans="1:4" x14ac:dyDescent="0.25">
      <c r="A45" s="35" t="s">
        <v>351</v>
      </c>
      <c r="B45" s="34">
        <v>1081243.416</v>
      </c>
      <c r="C45" s="34">
        <v>712.53279701083932</v>
      </c>
      <c r="D45" s="10">
        <v>385210.69772601721</v>
      </c>
    </row>
    <row r="46" spans="1:4" x14ac:dyDescent="0.25">
      <c r="A46" s="35" t="s">
        <v>352</v>
      </c>
      <c r="B46" s="34">
        <v>25921.554</v>
      </c>
      <c r="C46" s="34">
        <v>0</v>
      </c>
      <c r="D46" s="10">
        <v>0</v>
      </c>
    </row>
    <row r="47" spans="1:4" x14ac:dyDescent="0.25">
      <c r="A47" s="35" t="s">
        <v>353</v>
      </c>
      <c r="B47" s="34">
        <v>2886.24</v>
      </c>
      <c r="C47" s="34">
        <v>1034.1967526732399</v>
      </c>
      <c r="D47" s="10">
        <v>1492.4700177178058</v>
      </c>
    </row>
    <row r="48" spans="1:4" x14ac:dyDescent="0.25">
      <c r="A48" s="35" t="s">
        <v>355</v>
      </c>
      <c r="B48" s="34">
        <v>141480</v>
      </c>
      <c r="C48" s="34">
        <v>4609.1077496501721</v>
      </c>
      <c r="D48" s="10">
        <v>326048.28221025318</v>
      </c>
    </row>
    <row r="49" spans="1:4" x14ac:dyDescent="0.25">
      <c r="A49" s="35" t="s">
        <v>356</v>
      </c>
      <c r="B49" s="34">
        <v>1227.8399999999999</v>
      </c>
      <c r="C49" s="34">
        <v>0</v>
      </c>
      <c r="D49" s="10">
        <v>0</v>
      </c>
    </row>
    <row r="50" spans="1:4" x14ac:dyDescent="0.25">
      <c r="A50" s="35" t="s">
        <v>277</v>
      </c>
      <c r="B50" s="34">
        <v>652723.43999999994</v>
      </c>
      <c r="C50" s="34">
        <v>885.49571382392162</v>
      </c>
      <c r="D50" s="10">
        <v>288991.90421620279</v>
      </c>
    </row>
    <row r="51" spans="1:4" x14ac:dyDescent="0.25">
      <c r="A51" s="35" t="s">
        <v>357</v>
      </c>
      <c r="B51" s="34">
        <v>73497.600000000006</v>
      </c>
      <c r="C51" s="34">
        <v>0</v>
      </c>
      <c r="D51" s="10">
        <v>0</v>
      </c>
    </row>
    <row r="52" spans="1:4" x14ac:dyDescent="0.25">
      <c r="A52" s="35" t="s">
        <v>358</v>
      </c>
      <c r="B52" s="34">
        <v>13234.2</v>
      </c>
      <c r="C52" s="34">
        <v>0</v>
      </c>
      <c r="D52" s="10">
        <v>0</v>
      </c>
    </row>
    <row r="53" spans="1:4" x14ac:dyDescent="0.25">
      <c r="A53" s="35"/>
      <c r="B53" s="34"/>
      <c r="C53" s="34"/>
      <c r="D53" s="10"/>
    </row>
    <row r="54" spans="1:4" ht="15.75" thickBot="1" x14ac:dyDescent="0.3">
      <c r="A54" s="36"/>
      <c r="B54" s="37"/>
      <c r="C54" s="37"/>
      <c r="D54" s="16"/>
    </row>
    <row r="55" spans="1:4" ht="16.5" thickTop="1" thickBot="1" x14ac:dyDescent="0.3">
      <c r="A55" s="1"/>
      <c r="B55" s="17">
        <f>SUM(B4:B54)</f>
        <v>19409090.795000002</v>
      </c>
      <c r="D55" s="17">
        <f>SUM(D4:D54)</f>
        <v>10411371.047643386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2010</v>
      </c>
      <c r="D1" s="8" t="s">
        <v>2</v>
      </c>
      <c r="H1" s="130">
        <v>1191.716320391361</v>
      </c>
      <c r="I1" t="s">
        <v>6</v>
      </c>
    </row>
    <row r="2" spans="1:9" ht="18.75" x14ac:dyDescent="0.3">
      <c r="A2" s="3"/>
      <c r="B2" s="11" t="s">
        <v>31</v>
      </c>
      <c r="C2" s="11" t="s">
        <v>1</v>
      </c>
      <c r="D2" s="11" t="s">
        <v>5</v>
      </c>
      <c r="E2" s="4"/>
      <c r="F2" s="40" t="s">
        <v>9</v>
      </c>
      <c r="G2" s="38">
        <v>2010</v>
      </c>
      <c r="H2" s="41"/>
    </row>
    <row r="3" spans="1:9" ht="19.5" x14ac:dyDescent="0.35">
      <c r="A3" s="5" t="s">
        <v>0</v>
      </c>
      <c r="B3" s="12"/>
      <c r="C3" s="12" t="s">
        <v>7</v>
      </c>
      <c r="D3" s="12" t="s">
        <v>8</v>
      </c>
      <c r="E3" s="7"/>
    </row>
    <row r="4" spans="1:9" x14ac:dyDescent="0.25">
      <c r="A4" s="33" t="s">
        <v>194</v>
      </c>
      <c r="B4" s="34">
        <v>165694.6</v>
      </c>
      <c r="C4" s="98">
        <f>IF(B4&lt;&gt;0,$H$1,"")</f>
        <v>1191.716320391361</v>
      </c>
      <c r="D4" s="10">
        <f>(+B4*C4)/2000</f>
        <v>98730.479510359219</v>
      </c>
    </row>
    <row r="5" spans="1:9" x14ac:dyDescent="0.25">
      <c r="A5" s="33" t="s">
        <v>195</v>
      </c>
      <c r="B5" s="34">
        <v>138700</v>
      </c>
      <c r="C5" s="98">
        <f t="shared" ref="C5:C68" si="0">IF(B5&lt;&gt;0,$H$1,"")</f>
        <v>1191.716320391361</v>
      </c>
      <c r="D5" s="10">
        <f t="shared" ref="D5:D68" si="1">(+B5*C5)/2000</f>
        <v>82645.526819140883</v>
      </c>
    </row>
    <row r="6" spans="1:9" x14ac:dyDescent="0.25">
      <c r="A6" s="33" t="s">
        <v>198</v>
      </c>
      <c r="B6" s="34">
        <v>1224</v>
      </c>
      <c r="C6" s="98">
        <f t="shared" si="0"/>
        <v>1191.716320391361</v>
      </c>
      <c r="D6" s="10">
        <f t="shared" si="1"/>
        <v>729.330388079513</v>
      </c>
    </row>
    <row r="7" spans="1:9" x14ac:dyDescent="0.25">
      <c r="A7" s="33" t="s">
        <v>199</v>
      </c>
      <c r="B7" s="34">
        <v>15600</v>
      </c>
      <c r="C7" s="98">
        <f t="shared" si="0"/>
        <v>1191.716320391361</v>
      </c>
      <c r="D7" s="10">
        <f t="shared" si="1"/>
        <v>9295.3872990526161</v>
      </c>
    </row>
    <row r="8" spans="1:9" x14ac:dyDescent="0.25">
      <c r="A8" s="33" t="s">
        <v>200</v>
      </c>
      <c r="B8" s="34">
        <v>-3094185</v>
      </c>
      <c r="C8" s="98">
        <f t="shared" si="0"/>
        <v>1191.716320391361</v>
      </c>
      <c r="D8" s="10">
        <f t="shared" si="1"/>
        <v>-1843695.3814050718</v>
      </c>
    </row>
    <row r="9" spans="1:9" x14ac:dyDescent="0.25">
      <c r="A9" s="33" t="s">
        <v>201</v>
      </c>
      <c r="B9" s="34">
        <v>78616</v>
      </c>
      <c r="C9" s="98">
        <f t="shared" si="0"/>
        <v>1191.716320391361</v>
      </c>
      <c r="D9" s="10">
        <f t="shared" si="1"/>
        <v>46843.985121943624</v>
      </c>
    </row>
    <row r="10" spans="1:9" x14ac:dyDescent="0.25">
      <c r="A10" s="33" t="s">
        <v>175</v>
      </c>
      <c r="B10" s="34">
        <v>206160</v>
      </c>
      <c r="C10" s="98">
        <f t="shared" si="0"/>
        <v>1191.716320391361</v>
      </c>
      <c r="D10" s="10">
        <f t="shared" si="1"/>
        <v>122842.11830594149</v>
      </c>
    </row>
    <row r="11" spans="1:9" x14ac:dyDescent="0.25">
      <c r="A11" s="33" t="s">
        <v>204</v>
      </c>
      <c r="B11" s="34">
        <v>59686</v>
      </c>
      <c r="C11" s="98">
        <f t="shared" si="0"/>
        <v>1191.716320391361</v>
      </c>
      <c r="D11" s="10">
        <f t="shared" si="1"/>
        <v>35564.390149439387</v>
      </c>
    </row>
    <row r="12" spans="1:9" x14ac:dyDescent="0.25">
      <c r="A12" s="33" t="s">
        <v>176</v>
      </c>
      <c r="B12" s="34">
        <v>183821</v>
      </c>
      <c r="C12" s="98">
        <f t="shared" si="0"/>
        <v>1191.716320391361</v>
      </c>
      <c r="D12" s="10">
        <f t="shared" si="1"/>
        <v>109531.24286533019</v>
      </c>
    </row>
    <row r="13" spans="1:9" x14ac:dyDescent="0.25">
      <c r="A13" s="33" t="s">
        <v>208</v>
      </c>
      <c r="B13" s="34">
        <v>15633</v>
      </c>
      <c r="C13" s="98">
        <f t="shared" si="0"/>
        <v>1191.716320391361</v>
      </c>
      <c r="D13" s="10">
        <f t="shared" si="1"/>
        <v>9315.0506183390735</v>
      </c>
    </row>
    <row r="14" spans="1:9" x14ac:dyDescent="0.25">
      <c r="A14" s="33" t="s">
        <v>189</v>
      </c>
      <c r="B14" s="34">
        <v>775756</v>
      </c>
      <c r="C14" s="98">
        <f t="shared" si="0"/>
        <v>1191.716320391361</v>
      </c>
      <c r="D14" s="10">
        <f t="shared" si="1"/>
        <v>462240.54292076034</v>
      </c>
    </row>
    <row r="15" spans="1:9" x14ac:dyDescent="0.25">
      <c r="A15" s="33" t="s">
        <v>213</v>
      </c>
      <c r="B15" s="34">
        <v>25594</v>
      </c>
      <c r="C15" s="98">
        <f t="shared" si="0"/>
        <v>1191.716320391361</v>
      </c>
      <c r="D15" s="10">
        <f t="shared" si="1"/>
        <v>15250.393752048247</v>
      </c>
    </row>
    <row r="16" spans="1:9" x14ac:dyDescent="0.25">
      <c r="A16" s="33" t="s">
        <v>214</v>
      </c>
      <c r="B16" s="34">
        <v>82208</v>
      </c>
      <c r="C16" s="98">
        <f t="shared" si="0"/>
        <v>1191.716320391361</v>
      </c>
      <c r="D16" s="10">
        <f t="shared" si="1"/>
        <v>48984.307633366501</v>
      </c>
    </row>
    <row r="17" spans="1:4" x14ac:dyDescent="0.25">
      <c r="A17" s="33" t="s">
        <v>177</v>
      </c>
      <c r="B17" s="34">
        <v>95234</v>
      </c>
      <c r="C17" s="98">
        <f t="shared" si="0"/>
        <v>1191.716320391361</v>
      </c>
      <c r="D17" s="10">
        <f t="shared" si="1"/>
        <v>56745.956028075438</v>
      </c>
    </row>
    <row r="18" spans="1:4" x14ac:dyDescent="0.25">
      <c r="A18" s="33" t="s">
        <v>215</v>
      </c>
      <c r="B18" s="34">
        <v>10876</v>
      </c>
      <c r="C18" s="98">
        <f t="shared" si="0"/>
        <v>1191.716320391361</v>
      </c>
      <c r="D18" s="10">
        <f t="shared" si="1"/>
        <v>6480.5533502882217</v>
      </c>
    </row>
    <row r="19" spans="1:4" x14ac:dyDescent="0.25">
      <c r="A19" s="33" t="s">
        <v>217</v>
      </c>
      <c r="B19" s="34">
        <v>117600</v>
      </c>
      <c r="C19" s="98">
        <f t="shared" si="0"/>
        <v>1191.716320391361</v>
      </c>
      <c r="D19" s="10">
        <f t="shared" si="1"/>
        <v>70072.91963901202</v>
      </c>
    </row>
    <row r="20" spans="1:4" x14ac:dyDescent="0.25">
      <c r="A20" s="33" t="s">
        <v>179</v>
      </c>
      <c r="B20" s="34">
        <v>184451</v>
      </c>
      <c r="C20" s="98">
        <f t="shared" si="0"/>
        <v>1191.716320391361</v>
      </c>
      <c r="D20" s="10">
        <f t="shared" si="1"/>
        <v>109906.63350625346</v>
      </c>
    </row>
    <row r="21" spans="1:4" x14ac:dyDescent="0.25">
      <c r="A21" s="33" t="s">
        <v>218</v>
      </c>
      <c r="B21" s="34">
        <v>31</v>
      </c>
      <c r="C21" s="98">
        <f t="shared" si="0"/>
        <v>1191.716320391361</v>
      </c>
      <c r="D21" s="10">
        <f t="shared" si="1"/>
        <v>18.471602966066097</v>
      </c>
    </row>
    <row r="22" spans="1:4" x14ac:dyDescent="0.25">
      <c r="A22" s="33" t="s">
        <v>219</v>
      </c>
      <c r="B22" s="34">
        <v>320131</v>
      </c>
      <c r="C22" s="98">
        <f t="shared" si="0"/>
        <v>1191.716320391361</v>
      </c>
      <c r="D22" s="10">
        <f t="shared" si="1"/>
        <v>190752.66868160339</v>
      </c>
    </row>
    <row r="23" spans="1:4" x14ac:dyDescent="0.25">
      <c r="A23" s="33" t="s">
        <v>220</v>
      </c>
      <c r="B23" s="34">
        <v>17600</v>
      </c>
      <c r="C23" s="98">
        <f t="shared" si="0"/>
        <v>1191.716320391361</v>
      </c>
      <c r="D23" s="10">
        <f t="shared" si="1"/>
        <v>10487.103619443977</v>
      </c>
    </row>
    <row r="24" spans="1:4" x14ac:dyDescent="0.25">
      <c r="A24" s="33" t="s">
        <v>221</v>
      </c>
      <c r="B24" s="34">
        <v>430</v>
      </c>
      <c r="C24" s="98">
        <f t="shared" si="0"/>
        <v>1191.716320391361</v>
      </c>
      <c r="D24" s="10">
        <f t="shared" si="1"/>
        <v>256.21900888414262</v>
      </c>
    </row>
    <row r="25" spans="1:4" x14ac:dyDescent="0.25">
      <c r="A25" s="33" t="s">
        <v>223</v>
      </c>
      <c r="B25" s="34">
        <v>63929</v>
      </c>
      <c r="C25" s="98">
        <f t="shared" si="0"/>
        <v>1191.716320391361</v>
      </c>
      <c r="D25" s="10">
        <f t="shared" si="1"/>
        <v>38092.616323149661</v>
      </c>
    </row>
    <row r="26" spans="1:4" x14ac:dyDescent="0.25">
      <c r="A26" s="33" t="s">
        <v>224</v>
      </c>
      <c r="B26" s="34">
        <v>4000</v>
      </c>
      <c r="C26" s="98">
        <f t="shared" si="0"/>
        <v>1191.716320391361</v>
      </c>
      <c r="D26" s="10">
        <f t="shared" si="1"/>
        <v>2383.432640782722</v>
      </c>
    </row>
    <row r="27" spans="1:4" x14ac:dyDescent="0.25">
      <c r="A27" s="33" t="s">
        <v>226</v>
      </c>
      <c r="B27" s="34">
        <v>20495</v>
      </c>
      <c r="C27" s="98">
        <f t="shared" si="0"/>
        <v>1191.716320391361</v>
      </c>
      <c r="D27" s="10">
        <f t="shared" si="1"/>
        <v>12212.112993210472</v>
      </c>
    </row>
    <row r="28" spans="1:4" x14ac:dyDescent="0.25">
      <c r="A28" s="33" t="s">
        <v>230</v>
      </c>
      <c r="B28" s="34">
        <v>682132</v>
      </c>
      <c r="C28" s="98">
        <f t="shared" si="0"/>
        <v>1191.716320391361</v>
      </c>
      <c r="D28" s="10">
        <f t="shared" si="1"/>
        <v>406453.91853059997</v>
      </c>
    </row>
    <row r="29" spans="1:4" x14ac:dyDescent="0.25">
      <c r="A29" s="33" t="s">
        <v>232</v>
      </c>
      <c r="B29" s="34">
        <v>17382</v>
      </c>
      <c r="C29" s="98">
        <f t="shared" si="0"/>
        <v>1191.716320391361</v>
      </c>
      <c r="D29" s="10">
        <f t="shared" si="1"/>
        <v>10357.206540521318</v>
      </c>
    </row>
    <row r="30" spans="1:4" x14ac:dyDescent="0.25">
      <c r="A30" s="33" t="s">
        <v>235</v>
      </c>
      <c r="B30" s="34">
        <v>32200</v>
      </c>
      <c r="C30" s="98">
        <f t="shared" si="0"/>
        <v>1191.716320391361</v>
      </c>
      <c r="D30" s="10">
        <f t="shared" si="1"/>
        <v>19186.632758300912</v>
      </c>
    </row>
    <row r="31" spans="1:4" x14ac:dyDescent="0.25">
      <c r="A31" s="33" t="s">
        <v>236</v>
      </c>
      <c r="B31" s="34">
        <v>136924</v>
      </c>
      <c r="C31" s="98">
        <f t="shared" si="0"/>
        <v>1191.716320391361</v>
      </c>
      <c r="D31" s="10">
        <f t="shared" si="1"/>
        <v>81587.282726633348</v>
      </c>
    </row>
    <row r="32" spans="1:4" x14ac:dyDescent="0.25">
      <c r="A32" s="33" t="s">
        <v>243</v>
      </c>
      <c r="B32" s="34">
        <v>55600</v>
      </c>
      <c r="C32" s="98">
        <f t="shared" si="0"/>
        <v>1191.716320391361</v>
      </c>
      <c r="D32" s="10">
        <f t="shared" si="1"/>
        <v>33129.713706879833</v>
      </c>
    </row>
    <row r="33" spans="1:4" x14ac:dyDescent="0.25">
      <c r="A33" s="33" t="s">
        <v>244</v>
      </c>
      <c r="B33" s="34">
        <v>45</v>
      </c>
      <c r="C33" s="98">
        <f t="shared" si="0"/>
        <v>1191.716320391361</v>
      </c>
      <c r="D33" s="10">
        <f t="shared" si="1"/>
        <v>26.813617208805624</v>
      </c>
    </row>
    <row r="34" spans="1:4" x14ac:dyDescent="0.25">
      <c r="A34" s="33" t="s">
        <v>180</v>
      </c>
      <c r="B34" s="34">
        <v>1135590</v>
      </c>
      <c r="C34" s="98">
        <f t="shared" si="0"/>
        <v>1191.716320391361</v>
      </c>
      <c r="D34" s="10">
        <f t="shared" si="1"/>
        <v>676650.56813661277</v>
      </c>
    </row>
    <row r="35" spans="1:4" x14ac:dyDescent="0.25">
      <c r="A35" s="33" t="s">
        <v>248</v>
      </c>
      <c r="B35" s="34">
        <v>20186</v>
      </c>
      <c r="C35" s="98">
        <f t="shared" si="0"/>
        <v>1191.716320391361</v>
      </c>
      <c r="D35" s="10">
        <f t="shared" si="1"/>
        <v>12027.992821710008</v>
      </c>
    </row>
    <row r="36" spans="1:4" x14ac:dyDescent="0.25">
      <c r="A36" s="33" t="s">
        <v>249</v>
      </c>
      <c r="B36" s="34">
        <v>24200</v>
      </c>
      <c r="C36" s="98">
        <f t="shared" si="0"/>
        <v>1191.716320391361</v>
      </c>
      <c r="D36" s="10">
        <f t="shared" si="1"/>
        <v>14419.767476735469</v>
      </c>
    </row>
    <row r="37" spans="1:4" x14ac:dyDescent="0.25">
      <c r="A37" s="33" t="s">
        <v>251</v>
      </c>
      <c r="B37" s="34">
        <v>4037</v>
      </c>
      <c r="C37" s="98">
        <f t="shared" si="0"/>
        <v>1191.716320391361</v>
      </c>
      <c r="D37" s="10">
        <f t="shared" si="1"/>
        <v>2405.4793927099622</v>
      </c>
    </row>
    <row r="38" spans="1:4" x14ac:dyDescent="0.25">
      <c r="A38" s="33" t="s">
        <v>252</v>
      </c>
      <c r="B38" s="34">
        <v>2854</v>
      </c>
      <c r="C38" s="98">
        <f t="shared" si="0"/>
        <v>1191.716320391361</v>
      </c>
      <c r="D38" s="10">
        <f t="shared" si="1"/>
        <v>1700.579189198472</v>
      </c>
    </row>
    <row r="39" spans="1:4" x14ac:dyDescent="0.25">
      <c r="A39" s="33" t="s">
        <v>253</v>
      </c>
      <c r="B39" s="34">
        <v>30400</v>
      </c>
      <c r="C39" s="98">
        <f t="shared" si="0"/>
        <v>1191.716320391361</v>
      </c>
      <c r="D39" s="10">
        <f t="shared" si="1"/>
        <v>18114.088069948688</v>
      </c>
    </row>
    <row r="40" spans="1:4" x14ac:dyDescent="0.25">
      <c r="A40" s="33" t="s">
        <v>254</v>
      </c>
      <c r="B40" s="34">
        <v>2374</v>
      </c>
      <c r="C40" s="98">
        <f t="shared" si="0"/>
        <v>1191.716320391361</v>
      </c>
      <c r="D40" s="10">
        <f t="shared" si="1"/>
        <v>1414.5672723045457</v>
      </c>
    </row>
    <row r="41" spans="1:4" x14ac:dyDescent="0.25">
      <c r="A41" s="33" t="s">
        <v>255</v>
      </c>
      <c r="B41" s="34">
        <v>87811</v>
      </c>
      <c r="C41" s="98">
        <f t="shared" si="0"/>
        <v>1191.716320391361</v>
      </c>
      <c r="D41" s="10">
        <f t="shared" si="1"/>
        <v>52322.900904942901</v>
      </c>
    </row>
    <row r="42" spans="1:4" x14ac:dyDescent="0.25">
      <c r="A42" s="33" t="s">
        <v>256</v>
      </c>
      <c r="B42" s="34">
        <v>46767</v>
      </c>
      <c r="C42" s="98">
        <f t="shared" si="0"/>
        <v>1191.716320391361</v>
      </c>
      <c r="D42" s="10">
        <f t="shared" si="1"/>
        <v>27866.498577871389</v>
      </c>
    </row>
    <row r="43" spans="1:4" x14ac:dyDescent="0.25">
      <c r="A43" s="33" t="s">
        <v>257</v>
      </c>
      <c r="B43" s="34">
        <v>80243</v>
      </c>
      <c r="C43" s="98">
        <f t="shared" si="0"/>
        <v>1191.716320391361</v>
      </c>
      <c r="D43" s="10">
        <f t="shared" si="1"/>
        <v>47813.446348581994</v>
      </c>
    </row>
    <row r="44" spans="1:4" x14ac:dyDescent="0.25">
      <c r="A44" s="33" t="s">
        <v>261</v>
      </c>
      <c r="B44" s="34">
        <v>292936</v>
      </c>
      <c r="C44" s="98">
        <f t="shared" si="0"/>
        <v>1191.716320391361</v>
      </c>
      <c r="D44" s="10">
        <f t="shared" si="1"/>
        <v>174548.30601508185</v>
      </c>
    </row>
    <row r="45" spans="1:4" x14ac:dyDescent="0.25">
      <c r="A45" s="33" t="s">
        <v>183</v>
      </c>
      <c r="B45" s="34">
        <v>300036</v>
      </c>
      <c r="C45" s="98">
        <f t="shared" si="0"/>
        <v>1191.716320391361</v>
      </c>
      <c r="D45" s="10">
        <f t="shared" si="1"/>
        <v>178778.89895247121</v>
      </c>
    </row>
    <row r="46" spans="1:4" x14ac:dyDescent="0.25">
      <c r="A46" s="33" t="s">
        <v>263</v>
      </c>
      <c r="B46" s="34">
        <v>6500</v>
      </c>
      <c r="C46" s="98">
        <f t="shared" si="0"/>
        <v>1191.716320391361</v>
      </c>
      <c r="D46" s="10">
        <f t="shared" si="1"/>
        <v>3873.0780412719232</v>
      </c>
    </row>
    <row r="47" spans="1:4" x14ac:dyDescent="0.25">
      <c r="A47" s="33" t="s">
        <v>264</v>
      </c>
      <c r="B47" s="34">
        <v>98150</v>
      </c>
      <c r="C47" s="98">
        <f t="shared" si="0"/>
        <v>1191.716320391361</v>
      </c>
      <c r="D47" s="10">
        <f t="shared" si="1"/>
        <v>58483.478423206041</v>
      </c>
    </row>
    <row r="48" spans="1:4" x14ac:dyDescent="0.25">
      <c r="A48" s="33" t="s">
        <v>265</v>
      </c>
      <c r="B48" s="34">
        <v>173</v>
      </c>
      <c r="C48" s="98">
        <f t="shared" si="0"/>
        <v>1191.716320391361</v>
      </c>
      <c r="D48" s="10">
        <f t="shared" si="1"/>
        <v>103.08346171385273</v>
      </c>
    </row>
    <row r="49" spans="1:4" x14ac:dyDescent="0.25">
      <c r="A49" s="33" t="s">
        <v>266</v>
      </c>
      <c r="B49" s="34">
        <v>5475</v>
      </c>
      <c r="C49" s="98">
        <f t="shared" si="0"/>
        <v>1191.716320391361</v>
      </c>
      <c r="D49" s="10">
        <f t="shared" si="1"/>
        <v>3262.3234270713506</v>
      </c>
    </row>
    <row r="50" spans="1:4" x14ac:dyDescent="0.25">
      <c r="A50" s="33" t="s">
        <v>267</v>
      </c>
      <c r="B50" s="34">
        <v>684</v>
      </c>
      <c r="C50" s="98">
        <f t="shared" si="0"/>
        <v>1191.716320391361</v>
      </c>
      <c r="D50" s="10">
        <f t="shared" si="1"/>
        <v>407.56698157384551</v>
      </c>
    </row>
    <row r="51" spans="1:4" x14ac:dyDescent="0.25">
      <c r="A51" s="33" t="s">
        <v>184</v>
      </c>
      <c r="B51" s="34">
        <v>249821</v>
      </c>
      <c r="C51" s="98">
        <f t="shared" si="0"/>
        <v>1191.716320391361</v>
      </c>
      <c r="D51" s="10">
        <f t="shared" si="1"/>
        <v>148857.88143824509</v>
      </c>
    </row>
    <row r="52" spans="1:4" x14ac:dyDescent="0.25">
      <c r="A52" s="33" t="s">
        <v>268</v>
      </c>
      <c r="B52" s="34">
        <v>995085</v>
      </c>
      <c r="C52" s="98">
        <f t="shared" si="0"/>
        <v>1191.716320391361</v>
      </c>
      <c r="D52" s="10">
        <f t="shared" si="1"/>
        <v>592929.51733831875</v>
      </c>
    </row>
    <row r="53" spans="1:4" x14ac:dyDescent="0.25">
      <c r="A53" s="33" t="s">
        <v>185</v>
      </c>
      <c r="B53" s="34">
        <v>355579</v>
      </c>
      <c r="C53" s="98">
        <f t="shared" si="0"/>
        <v>1191.716320391361</v>
      </c>
      <c r="D53" s="10">
        <f t="shared" si="1"/>
        <v>211874.64874421986</v>
      </c>
    </row>
    <row r="54" spans="1:4" x14ac:dyDescent="0.25">
      <c r="A54" s="33" t="s">
        <v>270</v>
      </c>
      <c r="B54" s="34">
        <v>1600</v>
      </c>
      <c r="C54" s="98">
        <f t="shared" si="0"/>
        <v>1191.716320391361</v>
      </c>
      <c r="D54" s="10">
        <f t="shared" si="1"/>
        <v>953.37305631308891</v>
      </c>
    </row>
    <row r="55" spans="1:4" x14ac:dyDescent="0.25">
      <c r="A55" s="33" t="s">
        <v>272</v>
      </c>
      <c r="B55" s="34">
        <v>45702</v>
      </c>
      <c r="C55" s="98">
        <f t="shared" si="0"/>
        <v>1191.716320391361</v>
      </c>
      <c r="D55" s="10">
        <f t="shared" si="1"/>
        <v>27231.909637262994</v>
      </c>
    </row>
    <row r="56" spans="1:4" x14ac:dyDescent="0.25">
      <c r="A56" s="33" t="s">
        <v>273</v>
      </c>
      <c r="B56" s="34">
        <v>13647</v>
      </c>
      <c r="C56" s="98">
        <f t="shared" si="0"/>
        <v>1191.716320391361</v>
      </c>
      <c r="D56" s="10">
        <f t="shared" si="1"/>
        <v>8131.6763121904514</v>
      </c>
    </row>
    <row r="57" spans="1:4" x14ac:dyDescent="0.25">
      <c r="A57" s="33" t="s">
        <v>186</v>
      </c>
      <c r="B57" s="34">
        <v>47836</v>
      </c>
      <c r="C57" s="98">
        <f t="shared" si="0"/>
        <v>1191.716320391361</v>
      </c>
      <c r="D57" s="10">
        <f t="shared" si="1"/>
        <v>28503.470951120573</v>
      </c>
    </row>
    <row r="58" spans="1:4" x14ac:dyDescent="0.25">
      <c r="A58" s="33" t="s">
        <v>276</v>
      </c>
      <c r="B58" s="34">
        <v>147357</v>
      </c>
      <c r="C58" s="98">
        <f t="shared" si="0"/>
        <v>1191.716320391361</v>
      </c>
      <c r="D58" s="10">
        <f t="shared" si="1"/>
        <v>87803.870911954888</v>
      </c>
    </row>
    <row r="59" spans="1:4" x14ac:dyDescent="0.25">
      <c r="A59" s="33" t="s">
        <v>277</v>
      </c>
      <c r="B59" s="34">
        <v>1038</v>
      </c>
      <c r="C59" s="98">
        <f t="shared" si="0"/>
        <v>1191.716320391361</v>
      </c>
      <c r="D59" s="10">
        <f t="shared" si="1"/>
        <v>618.50077028311637</v>
      </c>
    </row>
    <row r="60" spans="1:4" x14ac:dyDescent="0.25">
      <c r="A60" s="33" t="s">
        <v>279</v>
      </c>
      <c r="B60" s="34">
        <v>78028</v>
      </c>
      <c r="C60" s="98">
        <f t="shared" si="0"/>
        <v>1191.716320391361</v>
      </c>
      <c r="D60" s="10">
        <f t="shared" si="1"/>
        <v>46493.620523748563</v>
      </c>
    </row>
    <row r="61" spans="1:4" x14ac:dyDescent="0.25">
      <c r="A61" s="33" t="s">
        <v>188</v>
      </c>
      <c r="B61" s="34">
        <v>1107783</v>
      </c>
      <c r="C61" s="98">
        <f t="shared" si="0"/>
        <v>1191.716320391361</v>
      </c>
      <c r="D61" s="10">
        <f t="shared" si="1"/>
        <v>660081.5402760515</v>
      </c>
    </row>
    <row r="62" spans="1:4" x14ac:dyDescent="0.25">
      <c r="A62" s="33" t="s">
        <v>281</v>
      </c>
      <c r="B62" s="34">
        <v>8791</v>
      </c>
      <c r="C62" s="98">
        <f t="shared" si="0"/>
        <v>1191.716320391361</v>
      </c>
      <c r="D62" s="10">
        <f t="shared" si="1"/>
        <v>5238.1890862802275</v>
      </c>
    </row>
    <row r="63" spans="1:4" x14ac:dyDescent="0.25">
      <c r="A63" s="33" t="s">
        <v>284</v>
      </c>
      <c r="B63" s="34">
        <v>52383</v>
      </c>
      <c r="C63" s="98">
        <f t="shared" si="0"/>
        <v>1191.716320391361</v>
      </c>
      <c r="D63" s="10">
        <f t="shared" si="1"/>
        <v>31212.838005530331</v>
      </c>
    </row>
    <row r="64" spans="1:4" x14ac:dyDescent="0.25">
      <c r="A64" s="33" t="s">
        <v>287</v>
      </c>
      <c r="B64" s="34">
        <v>20</v>
      </c>
      <c r="C64" s="98">
        <f t="shared" si="0"/>
        <v>1191.716320391361</v>
      </c>
      <c r="D64" s="10">
        <f t="shared" si="1"/>
        <v>11.91716320391361</v>
      </c>
    </row>
    <row r="65" spans="1:4" x14ac:dyDescent="0.25">
      <c r="A65" s="33" t="s">
        <v>174</v>
      </c>
      <c r="B65" s="34">
        <v>11424</v>
      </c>
      <c r="C65" s="98">
        <f t="shared" si="0"/>
        <v>1191.716320391361</v>
      </c>
      <c r="D65" s="10">
        <f t="shared" si="1"/>
        <v>6807.0836220754545</v>
      </c>
    </row>
    <row r="66" spans="1:4" x14ac:dyDescent="0.25">
      <c r="A66" s="33" t="s">
        <v>175</v>
      </c>
      <c r="B66" s="34">
        <v>65580</v>
      </c>
      <c r="C66" s="98">
        <f t="shared" si="0"/>
        <v>1191.716320391361</v>
      </c>
      <c r="D66" s="10">
        <f t="shared" si="1"/>
        <v>39076.378145632727</v>
      </c>
    </row>
    <row r="67" spans="1:4" x14ac:dyDescent="0.25">
      <c r="A67" s="33" t="s">
        <v>181</v>
      </c>
      <c r="B67" s="34">
        <v>412908</v>
      </c>
      <c r="C67" s="98">
        <f t="shared" si="0"/>
        <v>1191.716320391361</v>
      </c>
      <c r="D67" s="10">
        <f t="shared" si="1"/>
        <v>246034.60121007805</v>
      </c>
    </row>
    <row r="68" spans="1:4" x14ac:dyDescent="0.25">
      <c r="A68" s="33" t="s">
        <v>188</v>
      </c>
      <c r="B68" s="34">
        <v>1533400</v>
      </c>
      <c r="C68" s="98">
        <f t="shared" si="0"/>
        <v>1191.716320391361</v>
      </c>
      <c r="D68" s="10">
        <f t="shared" si="1"/>
        <v>913688.90284405649</v>
      </c>
    </row>
    <row r="69" spans="1:4" x14ac:dyDescent="0.25">
      <c r="A69" s="33" t="s">
        <v>174</v>
      </c>
      <c r="B69" s="34">
        <v>-10438</v>
      </c>
      <c r="C69" s="98">
        <f t="shared" ref="C69:C132" si="2">IF(B69&lt;&gt;0,$H$1,"")</f>
        <v>1191.716320391361</v>
      </c>
      <c r="D69" s="10">
        <f t="shared" ref="D69:D132" si="3">(+B69*C69)/2000</f>
        <v>-6219.5674761225137</v>
      </c>
    </row>
    <row r="70" spans="1:4" x14ac:dyDescent="0.25">
      <c r="A70" s="33" t="s">
        <v>175</v>
      </c>
      <c r="B70" s="34">
        <v>-57475</v>
      </c>
      <c r="C70" s="98">
        <f t="shared" si="2"/>
        <v>1191.716320391361</v>
      </c>
      <c r="D70" s="10">
        <f t="shared" si="3"/>
        <v>-34246.947757246737</v>
      </c>
    </row>
    <row r="71" spans="1:4" x14ac:dyDescent="0.25">
      <c r="A71" s="33" t="s">
        <v>178</v>
      </c>
      <c r="B71" s="34">
        <v>20831.312000000002</v>
      </c>
      <c r="C71" s="98">
        <f t="shared" si="2"/>
        <v>1191.716320391361</v>
      </c>
      <c r="D71" s="10">
        <f t="shared" si="3"/>
        <v>12412.507242782203</v>
      </c>
    </row>
    <row r="72" spans="1:4" x14ac:dyDescent="0.25">
      <c r="A72" s="33" t="s">
        <v>181</v>
      </c>
      <c r="B72" s="34">
        <v>-413000</v>
      </c>
      <c r="C72" s="98">
        <f t="shared" si="2"/>
        <v>1191.716320391361</v>
      </c>
      <c r="D72" s="10">
        <f t="shared" si="3"/>
        <v>-246089.42016081605</v>
      </c>
    </row>
    <row r="73" spans="1:4" x14ac:dyDescent="0.25">
      <c r="A73" s="33" t="s">
        <v>188</v>
      </c>
      <c r="B73" s="34">
        <v>-1536249</v>
      </c>
      <c r="C73" s="98">
        <f t="shared" si="2"/>
        <v>1191.716320391361</v>
      </c>
      <c r="D73" s="10">
        <f t="shared" si="3"/>
        <v>-915386.50274245394</v>
      </c>
    </row>
    <row r="74" spans="1:4" x14ac:dyDescent="0.25">
      <c r="A74" s="33" t="s">
        <v>194</v>
      </c>
      <c r="B74" s="34">
        <v>-27014</v>
      </c>
      <c r="C74" s="98">
        <f t="shared" si="2"/>
        <v>1191.716320391361</v>
      </c>
      <c r="D74" s="10">
        <f t="shared" si="3"/>
        <v>-16096.512339526113</v>
      </c>
    </row>
    <row r="75" spans="1:4" x14ac:dyDescent="0.25">
      <c r="A75" s="33" t="s">
        <v>195</v>
      </c>
      <c r="B75" s="34">
        <v>-40109</v>
      </c>
      <c r="C75" s="98">
        <f t="shared" si="2"/>
        <v>1191.716320391361</v>
      </c>
      <c r="D75" s="10">
        <f t="shared" si="3"/>
        <v>-23899.274947288552</v>
      </c>
    </row>
    <row r="76" spans="1:4" x14ac:dyDescent="0.25">
      <c r="A76" s="33" t="s">
        <v>198</v>
      </c>
      <c r="B76" s="34">
        <v>-2465</v>
      </c>
      <c r="C76" s="98">
        <f t="shared" si="2"/>
        <v>1191.716320391361</v>
      </c>
      <c r="D76" s="10">
        <f t="shared" si="3"/>
        <v>-1468.7903648823526</v>
      </c>
    </row>
    <row r="77" spans="1:4" x14ac:dyDescent="0.25">
      <c r="A77" s="33" t="s">
        <v>199</v>
      </c>
      <c r="B77" s="34">
        <v>-29925</v>
      </c>
      <c r="C77" s="98">
        <f t="shared" si="2"/>
        <v>1191.716320391361</v>
      </c>
      <c r="D77" s="10">
        <f t="shared" si="3"/>
        <v>-17831.055443855741</v>
      </c>
    </row>
    <row r="78" spans="1:4" x14ac:dyDescent="0.25">
      <c r="A78" s="33" t="s">
        <v>200</v>
      </c>
      <c r="B78" s="34">
        <v>3847988</v>
      </c>
      <c r="C78" s="98">
        <f t="shared" si="2"/>
        <v>1191.716320391361</v>
      </c>
      <c r="D78" s="10">
        <f t="shared" si="3"/>
        <v>2292855.0501350565</v>
      </c>
    </row>
    <row r="79" spans="1:4" x14ac:dyDescent="0.25">
      <c r="A79" s="33" t="s">
        <v>201</v>
      </c>
      <c r="B79" s="34">
        <v>-259544</v>
      </c>
      <c r="C79" s="98">
        <f t="shared" si="2"/>
        <v>1191.716320391361</v>
      </c>
      <c r="D79" s="10">
        <f t="shared" si="3"/>
        <v>-154651.41032982769</v>
      </c>
    </row>
    <row r="80" spans="1:4" x14ac:dyDescent="0.25">
      <c r="A80" s="33" t="s">
        <v>175</v>
      </c>
      <c r="B80" s="34">
        <v>-159865</v>
      </c>
      <c r="C80" s="98">
        <f t="shared" si="2"/>
        <v>1191.716320391361</v>
      </c>
      <c r="D80" s="10">
        <f t="shared" si="3"/>
        <v>-95256.864779682466</v>
      </c>
    </row>
    <row r="81" spans="1:4" x14ac:dyDescent="0.25">
      <c r="A81" s="33" t="s">
        <v>202</v>
      </c>
      <c r="B81" s="34">
        <v>-49</v>
      </c>
      <c r="C81" s="98">
        <f t="shared" si="2"/>
        <v>1191.716320391361</v>
      </c>
      <c r="D81" s="10">
        <f t="shared" si="3"/>
        <v>-29.197049849588343</v>
      </c>
    </row>
    <row r="82" spans="1:4" x14ac:dyDescent="0.25">
      <c r="A82" s="33" t="s">
        <v>204</v>
      </c>
      <c r="B82" s="34">
        <v>-530</v>
      </c>
      <c r="C82" s="98">
        <f t="shared" si="2"/>
        <v>1191.716320391361</v>
      </c>
      <c r="D82" s="10">
        <f t="shared" si="3"/>
        <v>-315.80482490371071</v>
      </c>
    </row>
    <row r="83" spans="1:4" x14ac:dyDescent="0.25">
      <c r="A83" s="33" t="s">
        <v>176</v>
      </c>
      <c r="B83" s="34">
        <v>-261663</v>
      </c>
      <c r="C83" s="98">
        <f t="shared" si="2"/>
        <v>1191.716320391361</v>
      </c>
      <c r="D83" s="10">
        <f t="shared" si="3"/>
        <v>-155914.03377128235</v>
      </c>
    </row>
    <row r="84" spans="1:4" x14ac:dyDescent="0.25">
      <c r="A84" s="33" t="s">
        <v>208</v>
      </c>
      <c r="B84" s="34">
        <v>-5161</v>
      </c>
      <c r="C84" s="98">
        <f t="shared" si="2"/>
        <v>1191.716320391361</v>
      </c>
      <c r="D84" s="10">
        <f t="shared" si="3"/>
        <v>-3075.2239647699071</v>
      </c>
    </row>
    <row r="85" spans="1:4" x14ac:dyDescent="0.25">
      <c r="A85" s="33" t="s">
        <v>189</v>
      </c>
      <c r="B85" s="34">
        <v>-767741</v>
      </c>
      <c r="C85" s="98">
        <f t="shared" si="2"/>
        <v>1191.716320391361</v>
      </c>
      <c r="D85" s="10">
        <f t="shared" si="3"/>
        <v>-457464.73976679193</v>
      </c>
    </row>
    <row r="86" spans="1:4" x14ac:dyDescent="0.25">
      <c r="A86" s="33" t="s">
        <v>213</v>
      </c>
      <c r="B86" s="34">
        <v>-10025</v>
      </c>
      <c r="C86" s="98">
        <f t="shared" si="2"/>
        <v>1191.716320391361</v>
      </c>
      <c r="D86" s="10">
        <f t="shared" si="3"/>
        <v>-5973.4780559616975</v>
      </c>
    </row>
    <row r="87" spans="1:4" x14ac:dyDescent="0.25">
      <c r="A87" s="33" t="s">
        <v>214</v>
      </c>
      <c r="B87" s="34">
        <v>-111624</v>
      </c>
      <c r="C87" s="98">
        <f t="shared" si="2"/>
        <v>1191.716320391361</v>
      </c>
      <c r="D87" s="10">
        <f t="shared" si="3"/>
        <v>-66512.071273682639</v>
      </c>
    </row>
    <row r="88" spans="1:4" x14ac:dyDescent="0.25">
      <c r="A88" s="33" t="s">
        <v>177</v>
      </c>
      <c r="B88" s="34">
        <v>-42662</v>
      </c>
      <c r="C88" s="98">
        <f t="shared" si="2"/>
        <v>1191.716320391361</v>
      </c>
      <c r="D88" s="10">
        <f t="shared" si="3"/>
        <v>-25420.500830268124</v>
      </c>
    </row>
    <row r="89" spans="1:4" x14ac:dyDescent="0.25">
      <c r="A89" s="33" t="s">
        <v>215</v>
      </c>
      <c r="B89" s="34">
        <v>-54095</v>
      </c>
      <c r="C89" s="98">
        <f t="shared" si="2"/>
        <v>1191.716320391361</v>
      </c>
      <c r="D89" s="10">
        <f t="shared" si="3"/>
        <v>-32232.947175785335</v>
      </c>
    </row>
    <row r="90" spans="1:4" x14ac:dyDescent="0.25">
      <c r="A90" s="33" t="s">
        <v>217</v>
      </c>
      <c r="B90" s="34">
        <v>-150800</v>
      </c>
      <c r="C90" s="98">
        <f t="shared" si="2"/>
        <v>1191.716320391361</v>
      </c>
      <c r="D90" s="10">
        <f t="shared" si="3"/>
        <v>-89855.410557508614</v>
      </c>
    </row>
    <row r="91" spans="1:4" x14ac:dyDescent="0.25">
      <c r="A91" s="33" t="s">
        <v>179</v>
      </c>
      <c r="B91" s="34">
        <v>-1065</v>
      </c>
      <c r="C91" s="98">
        <f t="shared" si="2"/>
        <v>1191.716320391361</v>
      </c>
      <c r="D91" s="10">
        <f t="shared" si="3"/>
        <v>-634.58894060839964</v>
      </c>
    </row>
    <row r="92" spans="1:4" x14ac:dyDescent="0.25">
      <c r="A92" s="33" t="s">
        <v>218</v>
      </c>
      <c r="B92" s="34">
        <v>-831</v>
      </c>
      <c r="C92" s="98">
        <f t="shared" si="2"/>
        <v>1191.716320391361</v>
      </c>
      <c r="D92" s="10">
        <f t="shared" si="3"/>
        <v>-495.15813112261054</v>
      </c>
    </row>
    <row r="93" spans="1:4" x14ac:dyDescent="0.25">
      <c r="A93" s="33" t="s">
        <v>219</v>
      </c>
      <c r="B93" s="34">
        <v>-58348</v>
      </c>
      <c r="C93" s="98">
        <f t="shared" si="2"/>
        <v>1191.716320391361</v>
      </c>
      <c r="D93" s="10">
        <f t="shared" si="3"/>
        <v>-34767.131931097567</v>
      </c>
    </row>
    <row r="94" spans="1:4" x14ac:dyDescent="0.25">
      <c r="A94" s="33" t="s">
        <v>220</v>
      </c>
      <c r="B94" s="34">
        <v>-1200</v>
      </c>
      <c r="C94" s="98">
        <f t="shared" si="2"/>
        <v>1191.716320391361</v>
      </c>
      <c r="D94" s="10">
        <f t="shared" si="3"/>
        <v>-715.02979223481657</v>
      </c>
    </row>
    <row r="95" spans="1:4" x14ac:dyDescent="0.25">
      <c r="A95" s="33" t="s">
        <v>221</v>
      </c>
      <c r="B95" s="34">
        <v>-1808</v>
      </c>
      <c r="C95" s="98">
        <f t="shared" si="2"/>
        <v>1191.716320391361</v>
      </c>
      <c r="D95" s="10">
        <f t="shared" si="3"/>
        <v>-1077.3115536337905</v>
      </c>
    </row>
    <row r="96" spans="1:4" x14ac:dyDescent="0.25">
      <c r="A96" s="33" t="s">
        <v>223</v>
      </c>
      <c r="B96" s="34">
        <v>-14553</v>
      </c>
      <c r="C96" s="98">
        <f t="shared" si="2"/>
        <v>1191.716320391361</v>
      </c>
      <c r="D96" s="10">
        <f t="shared" si="3"/>
        <v>-8671.5238053277371</v>
      </c>
    </row>
    <row r="97" spans="1:4" x14ac:dyDescent="0.25">
      <c r="A97" s="33" t="s">
        <v>224</v>
      </c>
      <c r="B97" s="34">
        <v>-12000</v>
      </c>
      <c r="C97" s="98">
        <f t="shared" si="2"/>
        <v>1191.716320391361</v>
      </c>
      <c r="D97" s="10">
        <f t="shared" si="3"/>
        <v>-7150.2979223481661</v>
      </c>
    </row>
    <row r="98" spans="1:4" x14ac:dyDescent="0.25">
      <c r="A98" s="33" t="s">
        <v>226</v>
      </c>
      <c r="B98" s="34">
        <v>-45909</v>
      </c>
      <c r="C98" s="98">
        <f t="shared" si="2"/>
        <v>1191.716320391361</v>
      </c>
      <c r="D98" s="10">
        <f t="shared" si="3"/>
        <v>-27355.252276423496</v>
      </c>
    </row>
    <row r="99" spans="1:4" x14ac:dyDescent="0.25">
      <c r="A99" s="33" t="s">
        <v>230</v>
      </c>
      <c r="B99" s="34">
        <v>-442218</v>
      </c>
      <c r="C99" s="98">
        <f t="shared" si="2"/>
        <v>1191.716320391361</v>
      </c>
      <c r="D99" s="10">
        <f t="shared" si="3"/>
        <v>-263499.20388541342</v>
      </c>
    </row>
    <row r="100" spans="1:4" x14ac:dyDescent="0.25">
      <c r="A100" s="33" t="s">
        <v>232</v>
      </c>
      <c r="B100" s="34">
        <v>-60759</v>
      </c>
      <c r="C100" s="98">
        <f t="shared" si="2"/>
        <v>1191.716320391361</v>
      </c>
      <c r="D100" s="10">
        <f t="shared" si="3"/>
        <v>-36203.745955329352</v>
      </c>
    </row>
    <row r="101" spans="1:4" x14ac:dyDescent="0.25">
      <c r="A101" s="33" t="s">
        <v>235</v>
      </c>
      <c r="B101" s="34">
        <v>-800</v>
      </c>
      <c r="C101" s="98">
        <f t="shared" si="2"/>
        <v>1191.716320391361</v>
      </c>
      <c r="D101" s="10">
        <f t="shared" si="3"/>
        <v>-476.68652815654445</v>
      </c>
    </row>
    <row r="102" spans="1:4" x14ac:dyDescent="0.25">
      <c r="A102" s="33" t="s">
        <v>236</v>
      </c>
      <c r="B102" s="34">
        <v>-92601</v>
      </c>
      <c r="C102" s="98">
        <f t="shared" si="2"/>
        <v>1191.716320391361</v>
      </c>
      <c r="D102" s="10">
        <f t="shared" si="3"/>
        <v>-55177.061492280205</v>
      </c>
    </row>
    <row r="103" spans="1:4" x14ac:dyDescent="0.25">
      <c r="A103" s="33" t="s">
        <v>243</v>
      </c>
      <c r="B103" s="34">
        <v>-75385</v>
      </c>
      <c r="C103" s="98">
        <f t="shared" si="2"/>
        <v>1191.716320391361</v>
      </c>
      <c r="D103" s="10">
        <f t="shared" si="3"/>
        <v>-44918.76740635137</v>
      </c>
    </row>
    <row r="104" spans="1:4" x14ac:dyDescent="0.25">
      <c r="A104" s="33" t="s">
        <v>244</v>
      </c>
      <c r="B104" s="34">
        <v>-10</v>
      </c>
      <c r="C104" s="98">
        <f t="shared" si="2"/>
        <v>1191.716320391361</v>
      </c>
      <c r="D104" s="10">
        <f t="shared" si="3"/>
        <v>-5.958581601956805</v>
      </c>
    </row>
    <row r="105" spans="1:4" x14ac:dyDescent="0.25">
      <c r="A105" s="33" t="s">
        <v>180</v>
      </c>
      <c r="B105" s="34">
        <v>-454431</v>
      </c>
      <c r="C105" s="98">
        <f t="shared" si="2"/>
        <v>1191.716320391361</v>
      </c>
      <c r="D105" s="10">
        <f t="shared" si="3"/>
        <v>-270776.41959588329</v>
      </c>
    </row>
    <row r="106" spans="1:4" x14ac:dyDescent="0.25">
      <c r="A106" s="33" t="s">
        <v>245</v>
      </c>
      <c r="B106" s="34">
        <v>-356</v>
      </c>
      <c r="C106" s="98">
        <f t="shared" si="2"/>
        <v>1191.716320391361</v>
      </c>
      <c r="D106" s="10">
        <f t="shared" si="3"/>
        <v>-212.12550502966226</v>
      </c>
    </row>
    <row r="107" spans="1:4" x14ac:dyDescent="0.25">
      <c r="A107" s="33" t="s">
        <v>246</v>
      </c>
      <c r="B107" s="34">
        <v>-2</v>
      </c>
      <c r="C107" s="98">
        <f t="shared" si="2"/>
        <v>1191.716320391361</v>
      </c>
      <c r="D107" s="10">
        <f t="shared" si="3"/>
        <v>-1.191716320391361</v>
      </c>
    </row>
    <row r="108" spans="1:4" x14ac:dyDescent="0.25">
      <c r="A108" s="33" t="s">
        <v>248</v>
      </c>
      <c r="B108" s="34">
        <v>-294</v>
      </c>
      <c r="C108" s="98">
        <f t="shared" si="2"/>
        <v>1191.716320391361</v>
      </c>
      <c r="D108" s="10">
        <f t="shared" si="3"/>
        <v>-175.18229909753009</v>
      </c>
    </row>
    <row r="109" spans="1:4" x14ac:dyDescent="0.25">
      <c r="A109" s="33" t="s">
        <v>251</v>
      </c>
      <c r="B109" s="34">
        <v>-10173</v>
      </c>
      <c r="C109" s="98">
        <f t="shared" si="2"/>
        <v>1191.716320391361</v>
      </c>
      <c r="D109" s="10">
        <f t="shared" si="3"/>
        <v>-6061.6650636706572</v>
      </c>
    </row>
    <row r="110" spans="1:4" x14ac:dyDescent="0.25">
      <c r="A110" s="33" t="s">
        <v>252</v>
      </c>
      <c r="B110" s="34">
        <v>-48784</v>
      </c>
      <c r="C110" s="98">
        <f t="shared" si="2"/>
        <v>1191.716320391361</v>
      </c>
      <c r="D110" s="10">
        <f t="shared" si="3"/>
        <v>-29068.34448698608</v>
      </c>
    </row>
    <row r="111" spans="1:4" x14ac:dyDescent="0.25">
      <c r="A111" s="33" t="s">
        <v>254</v>
      </c>
      <c r="B111" s="34">
        <v>-175</v>
      </c>
      <c r="C111" s="98">
        <f t="shared" si="2"/>
        <v>1191.716320391361</v>
      </c>
      <c r="D111" s="10">
        <f t="shared" si="3"/>
        <v>-104.27517803424409</v>
      </c>
    </row>
    <row r="112" spans="1:4" x14ac:dyDescent="0.25">
      <c r="A112" s="33" t="s">
        <v>255</v>
      </c>
      <c r="B112" s="34">
        <v>-4755</v>
      </c>
      <c r="C112" s="98">
        <f t="shared" si="2"/>
        <v>1191.716320391361</v>
      </c>
      <c r="D112" s="10">
        <f t="shared" si="3"/>
        <v>-2833.305551730461</v>
      </c>
    </row>
    <row r="113" spans="1:4" x14ac:dyDescent="0.25">
      <c r="A113" s="33" t="s">
        <v>256</v>
      </c>
      <c r="B113" s="34">
        <v>-111596</v>
      </c>
      <c r="C113" s="98">
        <f t="shared" si="2"/>
        <v>1191.716320391361</v>
      </c>
      <c r="D113" s="10">
        <f t="shared" si="3"/>
        <v>-66495.387245197169</v>
      </c>
    </row>
    <row r="114" spans="1:4" x14ac:dyDescent="0.25">
      <c r="A114" s="33" t="s">
        <v>257</v>
      </c>
      <c r="B114" s="34">
        <v>-167918</v>
      </c>
      <c r="C114" s="98">
        <f t="shared" si="2"/>
        <v>1191.716320391361</v>
      </c>
      <c r="D114" s="10">
        <f t="shared" si="3"/>
        <v>-100055.31054373828</v>
      </c>
    </row>
    <row r="115" spans="1:4" x14ac:dyDescent="0.25">
      <c r="A115" s="33" t="s">
        <v>261</v>
      </c>
      <c r="B115" s="34">
        <v>-68889</v>
      </c>
      <c r="C115" s="98">
        <f t="shared" si="2"/>
        <v>1191.716320391361</v>
      </c>
      <c r="D115" s="10">
        <f t="shared" si="3"/>
        <v>-41048.072797720233</v>
      </c>
    </row>
    <row r="116" spans="1:4" x14ac:dyDescent="0.25">
      <c r="A116" s="33" t="s">
        <v>183</v>
      </c>
      <c r="B116" s="34">
        <v>-330673</v>
      </c>
      <c r="C116" s="98">
        <f t="shared" si="2"/>
        <v>1191.716320391361</v>
      </c>
      <c r="D116" s="10">
        <f t="shared" si="3"/>
        <v>-197034.20540638626</v>
      </c>
    </row>
    <row r="117" spans="1:4" x14ac:dyDescent="0.25">
      <c r="A117" s="33" t="s">
        <v>263</v>
      </c>
      <c r="B117" s="34">
        <v>-4400</v>
      </c>
      <c r="C117" s="98">
        <f t="shared" si="2"/>
        <v>1191.716320391361</v>
      </c>
      <c r="D117" s="10">
        <f t="shared" si="3"/>
        <v>-2621.7759048609942</v>
      </c>
    </row>
    <row r="118" spans="1:4" x14ac:dyDescent="0.25">
      <c r="A118" s="33" t="s">
        <v>264</v>
      </c>
      <c r="B118" s="34">
        <v>-46883</v>
      </c>
      <c r="C118" s="98">
        <f t="shared" si="2"/>
        <v>1191.716320391361</v>
      </c>
      <c r="D118" s="10">
        <f t="shared" si="3"/>
        <v>-27935.618124454089</v>
      </c>
    </row>
    <row r="119" spans="1:4" x14ac:dyDescent="0.25">
      <c r="A119" s="33" t="s">
        <v>265</v>
      </c>
      <c r="B119" s="34">
        <v>-463</v>
      </c>
      <c r="C119" s="98">
        <f t="shared" si="2"/>
        <v>1191.716320391361</v>
      </c>
      <c r="D119" s="10">
        <f t="shared" si="3"/>
        <v>-275.88232817060003</v>
      </c>
    </row>
    <row r="120" spans="1:4" x14ac:dyDescent="0.25">
      <c r="A120" s="33" t="s">
        <v>266</v>
      </c>
      <c r="B120" s="34">
        <v>-4178</v>
      </c>
      <c r="C120" s="98">
        <f t="shared" si="2"/>
        <v>1191.716320391361</v>
      </c>
      <c r="D120" s="10">
        <f t="shared" si="3"/>
        <v>-2489.4953932975532</v>
      </c>
    </row>
    <row r="121" spans="1:4" x14ac:dyDescent="0.25">
      <c r="A121" s="33" t="s">
        <v>267</v>
      </c>
      <c r="B121" s="34">
        <v>-10399</v>
      </c>
      <c r="C121" s="98">
        <f t="shared" si="2"/>
        <v>1191.716320391361</v>
      </c>
      <c r="D121" s="10">
        <f t="shared" si="3"/>
        <v>-6196.3290078748814</v>
      </c>
    </row>
    <row r="122" spans="1:4" x14ac:dyDescent="0.25">
      <c r="A122" s="33" t="s">
        <v>184</v>
      </c>
      <c r="B122" s="34">
        <v>-24056</v>
      </c>
      <c r="C122" s="98">
        <f t="shared" si="2"/>
        <v>1191.716320391361</v>
      </c>
      <c r="D122" s="10">
        <f t="shared" si="3"/>
        <v>-14333.963901667292</v>
      </c>
    </row>
    <row r="123" spans="1:4" x14ac:dyDescent="0.25">
      <c r="A123" s="33" t="s">
        <v>268</v>
      </c>
      <c r="B123" s="34">
        <v>-112120</v>
      </c>
      <c r="C123" s="98">
        <f t="shared" si="2"/>
        <v>1191.716320391361</v>
      </c>
      <c r="D123" s="10">
        <f t="shared" si="3"/>
        <v>-66807.616921139706</v>
      </c>
    </row>
    <row r="124" spans="1:4" x14ac:dyDescent="0.25">
      <c r="A124" s="33" t="s">
        <v>185</v>
      </c>
      <c r="B124" s="34">
        <v>-449454</v>
      </c>
      <c r="C124" s="98">
        <f t="shared" si="2"/>
        <v>1191.716320391361</v>
      </c>
      <c r="D124" s="10">
        <f t="shared" si="3"/>
        <v>-267810.83353258937</v>
      </c>
    </row>
    <row r="125" spans="1:4" x14ac:dyDescent="0.25">
      <c r="A125" s="33" t="s">
        <v>270</v>
      </c>
      <c r="B125" s="34">
        <v>-2937</v>
      </c>
      <c r="C125" s="98">
        <f t="shared" si="2"/>
        <v>1191.716320391361</v>
      </c>
      <c r="D125" s="10">
        <f t="shared" si="3"/>
        <v>-1750.0354164947137</v>
      </c>
    </row>
    <row r="126" spans="1:4" x14ac:dyDescent="0.25">
      <c r="A126" s="33" t="s">
        <v>272</v>
      </c>
      <c r="B126" s="34">
        <v>-6352</v>
      </c>
      <c r="C126" s="98">
        <f t="shared" si="2"/>
        <v>1191.716320391361</v>
      </c>
      <c r="D126" s="10">
        <f t="shared" si="3"/>
        <v>-3784.8910335629625</v>
      </c>
    </row>
    <row r="127" spans="1:4" x14ac:dyDescent="0.25">
      <c r="A127" s="33" t="s">
        <v>273</v>
      </c>
      <c r="B127" s="34">
        <v>-1236986</v>
      </c>
      <c r="C127" s="98">
        <f t="shared" si="2"/>
        <v>1191.716320391361</v>
      </c>
      <c r="D127" s="10">
        <f t="shared" si="3"/>
        <v>-737068.20214781398</v>
      </c>
    </row>
    <row r="128" spans="1:4" x14ac:dyDescent="0.25">
      <c r="A128" s="33" t="s">
        <v>186</v>
      </c>
      <c r="B128" s="34">
        <v>-2132</v>
      </c>
      <c r="C128" s="98">
        <f t="shared" si="2"/>
        <v>1191.716320391361</v>
      </c>
      <c r="D128" s="10">
        <f t="shared" si="3"/>
        <v>-1270.3695975371909</v>
      </c>
    </row>
    <row r="129" spans="1:4" x14ac:dyDescent="0.25">
      <c r="A129" s="33" t="s">
        <v>276</v>
      </c>
      <c r="B129" s="34">
        <v>-176278</v>
      </c>
      <c r="C129" s="98">
        <f t="shared" si="2"/>
        <v>1191.716320391361</v>
      </c>
      <c r="D129" s="10">
        <f t="shared" si="3"/>
        <v>-105036.68476297417</v>
      </c>
    </row>
    <row r="130" spans="1:4" x14ac:dyDescent="0.25">
      <c r="A130" s="33" t="s">
        <v>279</v>
      </c>
      <c r="B130" s="34">
        <v>-8119</v>
      </c>
      <c r="C130" s="98">
        <f t="shared" si="2"/>
        <v>1191.716320391361</v>
      </c>
      <c r="D130" s="10">
        <f t="shared" si="3"/>
        <v>-4837.7724026287297</v>
      </c>
    </row>
    <row r="131" spans="1:4" x14ac:dyDescent="0.25">
      <c r="A131" s="33" t="s">
        <v>188</v>
      </c>
      <c r="B131" s="34">
        <v>-318081</v>
      </c>
      <c r="C131" s="98">
        <f t="shared" si="2"/>
        <v>1191.716320391361</v>
      </c>
      <c r="D131" s="10">
        <f t="shared" si="3"/>
        <v>-189531.15945320224</v>
      </c>
    </row>
    <row r="132" spans="1:4" x14ac:dyDescent="0.25">
      <c r="A132" s="33" t="s">
        <v>281</v>
      </c>
      <c r="B132" s="34">
        <v>-9650</v>
      </c>
      <c r="C132" s="98">
        <f t="shared" si="2"/>
        <v>1191.716320391361</v>
      </c>
      <c r="D132" s="10">
        <f t="shared" si="3"/>
        <v>-5750.0312458883172</v>
      </c>
    </row>
    <row r="133" spans="1:4" x14ac:dyDescent="0.25">
      <c r="A133" s="33" t="s">
        <v>284</v>
      </c>
      <c r="B133" s="34">
        <v>-5147</v>
      </c>
      <c r="C133" s="98">
        <f t="shared" ref="C133" si="4">IF(B133&lt;&gt;0,$H$1,"")</f>
        <v>1191.716320391361</v>
      </c>
      <c r="D133" s="10">
        <f t="shared" ref="D133" si="5">(+B133*C133)/2000</f>
        <v>-3066.8819505271672</v>
      </c>
    </row>
    <row r="134" spans="1:4" x14ac:dyDescent="0.25">
      <c r="A134" s="33"/>
      <c r="B134" s="34"/>
      <c r="C134" s="9"/>
      <c r="D134" s="10"/>
    </row>
    <row r="135" spans="1:4" ht="15.75" thickBot="1" x14ac:dyDescent="0.3">
      <c r="A135" s="36"/>
      <c r="B135" s="37"/>
      <c r="C135" s="15"/>
      <c r="D135" s="16"/>
    </row>
    <row r="136" spans="1:4" ht="16.5" thickTop="1" thickBot="1" x14ac:dyDescent="0.3">
      <c r="A136" s="13"/>
      <c r="B136" s="96">
        <f>SUM(B4:B135)</f>
        <v>3185182.9120000005</v>
      </c>
      <c r="C136" s="14"/>
      <c r="D136" s="97">
        <f>SUM(D4:D135)</f>
        <v>1897917.2298310385</v>
      </c>
    </row>
  </sheetData>
  <hyperlinks>
    <hyperlink ref="D1" r:id="rId1"/>
  </hyperlinks>
  <pageMargins left="0.7" right="0.7" top="0.75" bottom="0.75" header="0.3" footer="0.3"/>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2009</v>
      </c>
      <c r="D4" s="72" t="s">
        <v>40</v>
      </c>
      <c r="E4" s="68"/>
    </row>
    <row r="5" spans="1:7" thickBot="1" x14ac:dyDescent="0.35">
      <c r="A5" s="238" t="s">
        <v>21</v>
      </c>
      <c r="B5" s="239"/>
      <c r="C5" s="78">
        <f>+F10*'Census Stats'!$L$38</f>
        <v>2360347.5865471303</v>
      </c>
      <c r="D5" s="66">
        <f>+D13/C5</f>
        <v>9.2766426117905105</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11163371</v>
      </c>
      <c r="E10" s="19">
        <f>+D10/D13</f>
        <v>0.50983373706579083</v>
      </c>
      <c r="F10" s="42">
        <v>947299</v>
      </c>
      <c r="G10" s="58">
        <f>+D10/F10</f>
        <v>11.784421814020705</v>
      </c>
    </row>
    <row r="11" spans="1:7" ht="14.45" x14ac:dyDescent="0.3">
      <c r="A11" s="235" t="s">
        <v>17</v>
      </c>
      <c r="B11" s="236"/>
      <c r="C11" s="237"/>
      <c r="D11" s="70">
        <f>9488763+95907</f>
        <v>9584670</v>
      </c>
      <c r="E11" s="19">
        <f>+D11/D13</f>
        <v>0.43773409704312199</v>
      </c>
      <c r="F11" s="34">
        <f>3394+118423</f>
        <v>121817</v>
      </c>
      <c r="G11" s="58">
        <f>+D11/F11</f>
        <v>78.68089018774063</v>
      </c>
    </row>
    <row r="12" spans="1:7" ht="14.45" x14ac:dyDescent="0.3">
      <c r="A12" s="235" t="s">
        <v>18</v>
      </c>
      <c r="B12" s="236"/>
      <c r="C12" s="237"/>
      <c r="D12" s="70">
        <v>1148060</v>
      </c>
      <c r="E12" s="19">
        <f>+D12/D13</f>
        <v>5.2432165891087186E-2</v>
      </c>
      <c r="F12" s="6"/>
      <c r="G12" s="47"/>
    </row>
    <row r="13" spans="1:7" thickBot="1" x14ac:dyDescent="0.35">
      <c r="A13" s="48"/>
      <c r="B13" s="240" t="s">
        <v>13</v>
      </c>
      <c r="C13" s="239"/>
      <c r="D13" s="71">
        <f>SUM(D10:D12)</f>
        <v>21896101</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'2009 Known'!B51</f>
        <v>19034284.342000004</v>
      </c>
      <c r="E18" s="19">
        <f>+D18/(D18+D19)</f>
        <v>0.81195791600269751</v>
      </c>
      <c r="F18" s="10">
        <f>'2009 Known'!D51</f>
        <v>9694555.6973640826</v>
      </c>
      <c r="G18" s="47"/>
    </row>
    <row r="19" spans="1:8" ht="18" x14ac:dyDescent="0.35">
      <c r="A19" s="235" t="s">
        <v>34</v>
      </c>
      <c r="B19" s="236"/>
      <c r="C19" s="237"/>
      <c r="D19" s="59">
        <f>'2009 Unknown'!B148</f>
        <v>4408167.4979999997</v>
      </c>
      <c r="E19" s="60">
        <f>+D19/(D18+D19)</f>
        <v>0.18804208399730252</v>
      </c>
      <c r="F19" s="74">
        <f>'2009 Unknown'!D148</f>
        <v>2465915.3735550479</v>
      </c>
      <c r="G19" s="76" t="s">
        <v>39</v>
      </c>
    </row>
    <row r="20" spans="1:8" ht="18.75" thickBot="1" x14ac:dyDescent="0.4">
      <c r="A20" s="48"/>
      <c r="B20" s="50"/>
      <c r="C20" s="50"/>
      <c r="D20" s="73">
        <f>+C4</f>
        <v>2009</v>
      </c>
      <c r="E20" s="55" t="s">
        <v>4</v>
      </c>
      <c r="F20" s="75">
        <f>SUM(F18:F19)</f>
        <v>12160471.07091913</v>
      </c>
      <c r="G20" s="77">
        <f>+F20/G22</f>
        <v>1.7506995430677186</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election activeCell="D34" sqref="D34"/>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2009</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90893.71</v>
      </c>
      <c r="C4" s="34">
        <v>0</v>
      </c>
      <c r="D4" s="10">
        <v>0</v>
      </c>
    </row>
    <row r="5" spans="1:5" x14ac:dyDescent="0.25">
      <c r="A5" s="33" t="s">
        <v>294</v>
      </c>
      <c r="B5" s="34">
        <v>344847.47200000001</v>
      </c>
      <c r="C5" s="34">
        <v>0</v>
      </c>
      <c r="D5" s="10">
        <v>0</v>
      </c>
    </row>
    <row r="6" spans="1:5" x14ac:dyDescent="0.25">
      <c r="A6" s="33" t="s">
        <v>295</v>
      </c>
      <c r="B6" s="34">
        <v>62769</v>
      </c>
      <c r="C6" s="34">
        <v>0</v>
      </c>
      <c r="D6" s="10">
        <v>0</v>
      </c>
    </row>
    <row r="7" spans="1:5" x14ac:dyDescent="0.25">
      <c r="A7" s="33" t="s">
        <v>296</v>
      </c>
      <c r="B7" s="34">
        <v>151915.20000000001</v>
      </c>
      <c r="C7" s="34">
        <v>0</v>
      </c>
      <c r="D7" s="10">
        <v>0</v>
      </c>
    </row>
    <row r="8" spans="1:5" x14ac:dyDescent="0.25">
      <c r="A8" s="33" t="s">
        <v>297</v>
      </c>
      <c r="B8" s="34">
        <v>337353.652</v>
      </c>
      <c r="C8" s="34">
        <v>0</v>
      </c>
      <c r="D8" s="10">
        <v>0</v>
      </c>
    </row>
    <row r="9" spans="1:5" x14ac:dyDescent="0.25">
      <c r="A9" s="33" t="s">
        <v>312</v>
      </c>
      <c r="B9" s="34">
        <v>2310597</v>
      </c>
      <c r="C9" s="34">
        <v>2654.1205454172236</v>
      </c>
      <c r="D9" s="10">
        <v>3066301.4849397005</v>
      </c>
    </row>
    <row r="10" spans="1:5" x14ac:dyDescent="0.25">
      <c r="A10" s="33" t="s">
        <v>313</v>
      </c>
      <c r="B10" s="34">
        <v>2140507</v>
      </c>
      <c r="C10" s="34">
        <v>2551.2830504438202</v>
      </c>
      <c r="D10" s="10">
        <v>2730519.614228175</v>
      </c>
    </row>
    <row r="11" spans="1:5" x14ac:dyDescent="0.25">
      <c r="A11" s="33" t="s">
        <v>299</v>
      </c>
      <c r="B11" s="34">
        <v>384510</v>
      </c>
      <c r="C11" s="34">
        <v>1108.3238139486621</v>
      </c>
      <c r="D11" s="10">
        <v>213080.79485070001</v>
      </c>
    </row>
    <row r="12" spans="1:5" x14ac:dyDescent="0.25">
      <c r="A12" s="33" t="s">
        <v>305</v>
      </c>
      <c r="B12" s="34">
        <v>1368799</v>
      </c>
      <c r="C12" s="34">
        <v>888.23154613277768</v>
      </c>
      <c r="D12" s="10">
        <v>607905.2260575</v>
      </c>
    </row>
    <row r="13" spans="1:5" x14ac:dyDescent="0.25">
      <c r="A13" s="33" t="s">
        <v>308</v>
      </c>
      <c r="B13" s="34">
        <v>1426827.5</v>
      </c>
      <c r="C13" s="34">
        <v>913.81242166386619</v>
      </c>
      <c r="D13" s="10">
        <v>651926.34653580002</v>
      </c>
    </row>
    <row r="14" spans="1:5" x14ac:dyDescent="0.25">
      <c r="A14" s="33" t="s">
        <v>309</v>
      </c>
      <c r="B14" s="34">
        <v>539532.19999999995</v>
      </c>
      <c r="C14" s="34">
        <v>1079.7822928444309</v>
      </c>
      <c r="D14" s="10">
        <v>291288.65798970003</v>
      </c>
    </row>
    <row r="15" spans="1:5" x14ac:dyDescent="0.25">
      <c r="A15" s="33" t="s">
        <v>298</v>
      </c>
      <c r="B15" s="34">
        <v>419.45</v>
      </c>
      <c r="C15" s="34">
        <v>1824.319399241112</v>
      </c>
      <c r="D15" s="10">
        <v>382.60538600584221</v>
      </c>
    </row>
    <row r="16" spans="1:5" x14ac:dyDescent="0.25">
      <c r="A16" s="33" t="s">
        <v>301</v>
      </c>
      <c r="B16" s="34">
        <v>454203</v>
      </c>
      <c r="C16" s="34">
        <v>938.36446332380979</v>
      </c>
      <c r="D16" s="10">
        <v>213103.97716753217</v>
      </c>
    </row>
    <row r="17" spans="1:4" x14ac:dyDescent="0.25">
      <c r="A17" s="33" t="s">
        <v>302</v>
      </c>
      <c r="B17" s="34">
        <v>64044.5</v>
      </c>
      <c r="C17" s="34">
        <v>1569.4444137415658</v>
      </c>
      <c r="D17" s="10">
        <v>50257.141377935855</v>
      </c>
    </row>
    <row r="18" spans="1:4" x14ac:dyDescent="0.25">
      <c r="A18" s="33" t="s">
        <v>303</v>
      </c>
      <c r="B18" s="34">
        <v>89229</v>
      </c>
      <c r="C18" s="34">
        <v>1396.7769859261002</v>
      </c>
      <c r="D18" s="10">
        <v>62316.506838600006</v>
      </c>
    </row>
    <row r="19" spans="1:4" x14ac:dyDescent="0.25">
      <c r="A19" s="33" t="s">
        <v>304</v>
      </c>
      <c r="B19" s="34">
        <v>18586.099999999999</v>
      </c>
      <c r="C19" s="34">
        <v>1769.9984040008392</v>
      </c>
      <c r="D19" s="10">
        <v>16448.683668299996</v>
      </c>
    </row>
    <row r="20" spans="1:4" x14ac:dyDescent="0.25">
      <c r="A20" s="33" t="s">
        <v>306</v>
      </c>
      <c r="B20" s="34">
        <v>381219.26400000002</v>
      </c>
      <c r="C20" s="34">
        <v>0</v>
      </c>
      <c r="D20" s="10">
        <v>0</v>
      </c>
    </row>
    <row r="21" spans="1:4" x14ac:dyDescent="0.25">
      <c r="A21" s="33" t="s">
        <v>310</v>
      </c>
      <c r="B21" s="34">
        <v>16995.3</v>
      </c>
      <c r="C21" s="34">
        <v>1739.0063960469408</v>
      </c>
      <c r="D21" s="10">
        <v>14777.467701368285</v>
      </c>
    </row>
    <row r="22" spans="1:4" x14ac:dyDescent="0.25">
      <c r="A22" s="33" t="s">
        <v>311</v>
      </c>
      <c r="B22" s="34">
        <v>565274.87399999995</v>
      </c>
      <c r="C22" s="34">
        <v>0</v>
      </c>
      <c r="D22" s="10">
        <v>0</v>
      </c>
    </row>
    <row r="23" spans="1:4" x14ac:dyDescent="0.25">
      <c r="A23" s="33" t="s">
        <v>315</v>
      </c>
      <c r="B23" s="34">
        <v>22270.57</v>
      </c>
      <c r="C23" s="34">
        <v>819.2079</v>
      </c>
      <c r="D23" s="10">
        <v>9122.1134407515001</v>
      </c>
    </row>
    <row r="24" spans="1:4" x14ac:dyDescent="0.25">
      <c r="A24" s="33" t="s">
        <v>175</v>
      </c>
      <c r="B24" s="34">
        <v>7014</v>
      </c>
      <c r="C24" s="34">
        <v>0</v>
      </c>
      <c r="D24" s="10">
        <v>0</v>
      </c>
    </row>
    <row r="25" spans="1:4" x14ac:dyDescent="0.25">
      <c r="A25" s="33" t="s">
        <v>318</v>
      </c>
      <c r="B25" s="34">
        <v>393717</v>
      </c>
      <c r="C25" s="34">
        <v>819.2079</v>
      </c>
      <c r="D25" s="10">
        <v>161268.03838215</v>
      </c>
    </row>
    <row r="26" spans="1:4" x14ac:dyDescent="0.25">
      <c r="A26" s="33" t="s">
        <v>321</v>
      </c>
      <c r="B26" s="34">
        <v>1263318</v>
      </c>
      <c r="C26" s="34">
        <v>0</v>
      </c>
      <c r="D26" s="10">
        <v>0</v>
      </c>
    </row>
    <row r="27" spans="1:4" x14ac:dyDescent="0.25">
      <c r="A27" s="33" t="s">
        <v>322</v>
      </c>
      <c r="B27" s="34">
        <v>2007333</v>
      </c>
      <c r="C27" s="34">
        <v>0</v>
      </c>
      <c r="D27" s="10">
        <v>0</v>
      </c>
    </row>
    <row r="28" spans="1:4" x14ac:dyDescent="0.25">
      <c r="A28" s="33" t="s">
        <v>323</v>
      </c>
      <c r="B28" s="34">
        <v>959848</v>
      </c>
      <c r="C28" s="34">
        <v>0</v>
      </c>
      <c r="D28" s="10">
        <v>0</v>
      </c>
    </row>
    <row r="29" spans="1:4" x14ac:dyDescent="0.25">
      <c r="A29" s="33" t="s">
        <v>326</v>
      </c>
      <c r="B29" s="34">
        <v>1523.01</v>
      </c>
      <c r="C29" s="34">
        <v>0</v>
      </c>
      <c r="D29" s="10">
        <v>0</v>
      </c>
    </row>
    <row r="30" spans="1:4" x14ac:dyDescent="0.25">
      <c r="A30" s="33" t="s">
        <v>327</v>
      </c>
      <c r="B30" s="34">
        <v>234580</v>
      </c>
      <c r="C30" s="34">
        <v>0</v>
      </c>
      <c r="D30" s="10">
        <v>0</v>
      </c>
    </row>
    <row r="31" spans="1:4" x14ac:dyDescent="0.25">
      <c r="A31" s="33" t="s">
        <v>328</v>
      </c>
      <c r="B31" s="34">
        <v>82584</v>
      </c>
      <c r="C31" s="34">
        <v>0</v>
      </c>
      <c r="D31" s="10">
        <v>0</v>
      </c>
    </row>
    <row r="32" spans="1:4" x14ac:dyDescent="0.25">
      <c r="A32" s="33" t="s">
        <v>329</v>
      </c>
      <c r="B32" s="34">
        <v>313799</v>
      </c>
      <c r="C32" s="34">
        <v>0</v>
      </c>
      <c r="D32" s="10">
        <v>0</v>
      </c>
    </row>
    <row r="33" spans="1:4" x14ac:dyDescent="0.25">
      <c r="A33" s="33" t="s">
        <v>332</v>
      </c>
      <c r="B33" s="34">
        <v>132569</v>
      </c>
      <c r="C33" s="34">
        <v>0</v>
      </c>
      <c r="D33" s="10">
        <v>0</v>
      </c>
    </row>
    <row r="34" spans="1:4" x14ac:dyDescent="0.25">
      <c r="A34" s="33" t="s">
        <v>334</v>
      </c>
      <c r="B34" s="34">
        <v>591921</v>
      </c>
      <c r="C34" s="34">
        <v>2421.1511045073498</v>
      </c>
      <c r="D34" s="10">
        <f>C34*B34/2000</f>
        <v>716565.09146554756</v>
      </c>
    </row>
    <row r="35" spans="1:4" x14ac:dyDescent="0.25">
      <c r="A35" s="33" t="s">
        <v>335</v>
      </c>
      <c r="B35" s="34">
        <v>3036</v>
      </c>
      <c r="C35" s="34">
        <v>0</v>
      </c>
      <c r="D35" s="10">
        <v>0</v>
      </c>
    </row>
    <row r="36" spans="1:4" x14ac:dyDescent="0.25">
      <c r="A36" s="35" t="s">
        <v>339</v>
      </c>
      <c r="B36" s="34">
        <v>89728</v>
      </c>
      <c r="C36" s="34">
        <v>819.2079</v>
      </c>
      <c r="D36" s="10">
        <v>36752.9432256</v>
      </c>
    </row>
    <row r="37" spans="1:4" x14ac:dyDescent="0.25">
      <c r="A37" s="35" t="s">
        <v>343</v>
      </c>
      <c r="B37" s="34">
        <v>2345.92</v>
      </c>
      <c r="C37" s="34">
        <v>0</v>
      </c>
      <c r="D37" s="10">
        <v>0</v>
      </c>
    </row>
    <row r="38" spans="1:4" x14ac:dyDescent="0.25">
      <c r="A38" s="35" t="s">
        <v>344</v>
      </c>
      <c r="B38" s="34">
        <v>39992</v>
      </c>
      <c r="C38" s="34">
        <v>0</v>
      </c>
      <c r="D38" s="10">
        <v>0</v>
      </c>
    </row>
    <row r="39" spans="1:4" x14ac:dyDescent="0.25">
      <c r="A39" s="35" t="s">
        <v>349</v>
      </c>
      <c r="B39" s="34">
        <v>36065.160000000003</v>
      </c>
      <c r="C39" s="34">
        <v>0</v>
      </c>
      <c r="D39" s="10">
        <v>0</v>
      </c>
    </row>
    <row r="40" spans="1:4" x14ac:dyDescent="0.25">
      <c r="A40" s="35" t="s">
        <v>351</v>
      </c>
      <c r="B40" s="34">
        <v>995857.89</v>
      </c>
      <c r="C40" s="34">
        <v>711.04062100273177</v>
      </c>
      <c r="D40" s="10">
        <v>354047.70626803505</v>
      </c>
    </row>
    <row r="41" spans="1:4" x14ac:dyDescent="0.25">
      <c r="A41" s="35" t="s">
        <v>352</v>
      </c>
      <c r="B41" s="34">
        <v>23209.795999999998</v>
      </c>
      <c r="C41" s="34">
        <v>0</v>
      </c>
      <c r="D41" s="10">
        <v>0</v>
      </c>
    </row>
    <row r="42" spans="1:4" x14ac:dyDescent="0.25">
      <c r="A42" s="35" t="s">
        <v>353</v>
      </c>
      <c r="B42" s="34">
        <v>1816.9169999999999</v>
      </c>
      <c r="C42" s="34">
        <v>998.843085984749</v>
      </c>
      <c r="D42" s="10">
        <v>907.40749162907605</v>
      </c>
    </row>
    <row r="43" spans="1:4" x14ac:dyDescent="0.25">
      <c r="A43" s="35" t="s">
        <v>354</v>
      </c>
      <c r="B43" s="34">
        <v>343.577</v>
      </c>
      <c r="C43" s="34">
        <v>0</v>
      </c>
      <c r="D43" s="10">
        <v>0</v>
      </c>
    </row>
    <row r="44" spans="1:4" x14ac:dyDescent="0.25">
      <c r="A44" s="35" t="s">
        <v>355</v>
      </c>
      <c r="B44" s="34">
        <v>133987</v>
      </c>
      <c r="C44" s="34">
        <v>1701.106388137611</v>
      </c>
      <c r="D44" s="10">
        <v>113963.07081369704</v>
      </c>
    </row>
    <row r="45" spans="1:4" x14ac:dyDescent="0.25">
      <c r="A45" s="35" t="s">
        <v>356</v>
      </c>
      <c r="B45" s="34">
        <v>1018.08</v>
      </c>
      <c r="C45" s="34">
        <v>0</v>
      </c>
      <c r="D45" s="10">
        <v>0</v>
      </c>
    </row>
    <row r="46" spans="1:4" x14ac:dyDescent="0.25">
      <c r="A46" s="35" t="s">
        <v>277</v>
      </c>
      <c r="B46" s="34">
        <v>866454.6</v>
      </c>
      <c r="C46" s="34">
        <v>885.49548824682847</v>
      </c>
      <c r="D46" s="10">
        <v>383620.8195353552</v>
      </c>
    </row>
    <row r="47" spans="1:4" x14ac:dyDescent="0.25">
      <c r="A47" s="35" t="s">
        <v>357</v>
      </c>
      <c r="B47" s="34">
        <v>69081.600000000006</v>
      </c>
      <c r="C47" s="34">
        <v>0</v>
      </c>
      <c r="D47" s="10">
        <v>0</v>
      </c>
    </row>
    <row r="48" spans="1:4" x14ac:dyDescent="0.25">
      <c r="A48" s="35" t="s">
        <v>358</v>
      </c>
      <c r="B48" s="34">
        <v>12348</v>
      </c>
      <c r="C48" s="34">
        <v>0</v>
      </c>
      <c r="D48" s="10">
        <v>0</v>
      </c>
    </row>
    <row r="49" spans="1:4" x14ac:dyDescent="0.25">
      <c r="A49" s="35"/>
      <c r="B49" s="34"/>
      <c r="C49" s="34"/>
      <c r="D49" s="10"/>
    </row>
    <row r="50" spans="1:4" ht="15.75" thickBot="1" x14ac:dyDescent="0.3">
      <c r="A50" s="36"/>
      <c r="B50" s="37"/>
      <c r="C50" s="37"/>
      <c r="D50" s="16"/>
    </row>
    <row r="51" spans="1:4" ht="16.5" thickTop="1" thickBot="1" x14ac:dyDescent="0.3">
      <c r="A51" s="1"/>
      <c r="B51" s="17">
        <f>SUM(B4:B50)</f>
        <v>19034284.342000004</v>
      </c>
      <c r="D51" s="17">
        <f>SUM(D4:D50)</f>
        <v>9694555.6973640826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workbookViewId="0">
      <selection activeCell="F2" sqref="F2"/>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2009</v>
      </c>
      <c r="D1" s="8" t="s">
        <v>2</v>
      </c>
      <c r="H1" s="130">
        <v>1118.7938637421748</v>
      </c>
      <c r="I1" t="s">
        <v>6</v>
      </c>
    </row>
    <row r="2" spans="1:9" ht="18.75" x14ac:dyDescent="0.3">
      <c r="A2" s="3"/>
      <c r="B2" s="11" t="s">
        <v>31</v>
      </c>
      <c r="C2" s="11" t="s">
        <v>1</v>
      </c>
      <c r="D2" s="11" t="s">
        <v>5</v>
      </c>
      <c r="E2" s="4"/>
      <c r="F2" s="40" t="s">
        <v>9</v>
      </c>
      <c r="G2" s="38">
        <v>2009</v>
      </c>
      <c r="H2" s="41"/>
    </row>
    <row r="3" spans="1:9" ht="19.5" x14ac:dyDescent="0.35">
      <c r="A3" s="5" t="s">
        <v>0</v>
      </c>
      <c r="B3" s="12"/>
      <c r="C3" s="12" t="s">
        <v>7</v>
      </c>
      <c r="D3" s="12" t="s">
        <v>8</v>
      </c>
      <c r="E3" s="7"/>
    </row>
    <row r="4" spans="1:9" x14ac:dyDescent="0.25">
      <c r="A4" s="33" t="s">
        <v>194</v>
      </c>
      <c r="B4" s="34">
        <v>165617.92000000001</v>
      </c>
      <c r="C4" s="98">
        <f>IF(B4&lt;&gt;0,$H$1,"")</f>
        <v>1118.7938637421748</v>
      </c>
      <c r="D4" s="10">
        <f>(+B4*C4)/2000</f>
        <v>92646.156310871214</v>
      </c>
    </row>
    <row r="5" spans="1:9" x14ac:dyDescent="0.25">
      <c r="A5" s="33" t="s">
        <v>195</v>
      </c>
      <c r="B5" s="34">
        <v>16746</v>
      </c>
      <c r="C5" s="98">
        <f t="shared" ref="C5:C68" si="0">IF(B5&lt;&gt;0,$H$1,"")</f>
        <v>1118.7938637421748</v>
      </c>
      <c r="D5" s="10">
        <f t="shared" ref="D5:D68" si="1">(+B5*C5)/2000</f>
        <v>9367.6610211132302</v>
      </c>
    </row>
    <row r="6" spans="1:9" x14ac:dyDescent="0.25">
      <c r="A6" s="33" t="s">
        <v>198</v>
      </c>
      <c r="B6" s="34">
        <v>3800</v>
      </c>
      <c r="C6" s="98">
        <f t="shared" si="0"/>
        <v>1118.7938637421748</v>
      </c>
      <c r="D6" s="10">
        <f t="shared" si="1"/>
        <v>2125.7083411101321</v>
      </c>
    </row>
    <row r="7" spans="1:9" x14ac:dyDescent="0.25">
      <c r="A7" s="33" t="s">
        <v>200</v>
      </c>
      <c r="B7" s="34">
        <v>-3599695</v>
      </c>
      <c r="C7" s="98">
        <f t="shared" si="0"/>
        <v>1118.7938637421748</v>
      </c>
      <c r="D7" s="10">
        <f t="shared" si="1"/>
        <v>-2013658.338671694</v>
      </c>
    </row>
    <row r="8" spans="1:9" x14ac:dyDescent="0.25">
      <c r="A8" s="33" t="s">
        <v>201</v>
      </c>
      <c r="B8" s="34">
        <v>37192</v>
      </c>
      <c r="C8" s="98">
        <f t="shared" si="0"/>
        <v>1118.7938637421748</v>
      </c>
      <c r="D8" s="10">
        <f t="shared" si="1"/>
        <v>20805.090690149482</v>
      </c>
    </row>
    <row r="9" spans="1:9" x14ac:dyDescent="0.25">
      <c r="A9" s="33" t="s">
        <v>175</v>
      </c>
      <c r="B9" s="34">
        <v>334870</v>
      </c>
      <c r="C9" s="98">
        <f t="shared" si="0"/>
        <v>1118.7938637421748</v>
      </c>
      <c r="D9" s="10">
        <f t="shared" si="1"/>
        <v>187325.25057567106</v>
      </c>
    </row>
    <row r="10" spans="1:9" x14ac:dyDescent="0.25">
      <c r="A10" s="33" t="s">
        <v>204</v>
      </c>
      <c r="B10" s="34">
        <v>175</v>
      </c>
      <c r="C10" s="98">
        <f t="shared" si="0"/>
        <v>1118.7938637421748</v>
      </c>
      <c r="D10" s="10">
        <f t="shared" si="1"/>
        <v>97.894463077440307</v>
      </c>
    </row>
    <row r="11" spans="1:9" x14ac:dyDescent="0.25">
      <c r="A11" s="33" t="s">
        <v>176</v>
      </c>
      <c r="B11" s="34">
        <v>380859</v>
      </c>
      <c r="C11" s="98">
        <f t="shared" si="0"/>
        <v>1118.7938637421748</v>
      </c>
      <c r="D11" s="10">
        <f t="shared" si="1"/>
        <v>213051.35607549048</v>
      </c>
    </row>
    <row r="12" spans="1:9" x14ac:dyDescent="0.25">
      <c r="A12" s="33" t="s">
        <v>208</v>
      </c>
      <c r="B12" s="34">
        <v>29209</v>
      </c>
      <c r="C12" s="98">
        <f t="shared" si="0"/>
        <v>1118.7938637421748</v>
      </c>
      <c r="D12" s="10">
        <f t="shared" si="1"/>
        <v>16339.424983022593</v>
      </c>
    </row>
    <row r="13" spans="1:9" x14ac:dyDescent="0.25">
      <c r="A13" s="33" t="s">
        <v>189</v>
      </c>
      <c r="B13" s="34">
        <v>338327</v>
      </c>
      <c r="C13" s="98">
        <f t="shared" si="0"/>
        <v>1118.7938637421748</v>
      </c>
      <c r="D13" s="10">
        <f t="shared" si="1"/>
        <v>189259.08576914939</v>
      </c>
    </row>
    <row r="14" spans="1:9" x14ac:dyDescent="0.25">
      <c r="A14" s="33" t="s">
        <v>213</v>
      </c>
      <c r="B14" s="34">
        <v>50919</v>
      </c>
      <c r="C14" s="98">
        <f t="shared" si="0"/>
        <v>1118.7938637421748</v>
      </c>
      <c r="D14" s="10">
        <f t="shared" si="1"/>
        <v>28483.932373943899</v>
      </c>
    </row>
    <row r="15" spans="1:9" x14ac:dyDescent="0.25">
      <c r="A15" s="33" t="s">
        <v>214</v>
      </c>
      <c r="B15" s="34">
        <v>73722</v>
      </c>
      <c r="C15" s="98">
        <f t="shared" si="0"/>
        <v>1118.7938637421748</v>
      </c>
      <c r="D15" s="10">
        <f t="shared" si="1"/>
        <v>41239.860611400305</v>
      </c>
    </row>
    <row r="16" spans="1:9" x14ac:dyDescent="0.25">
      <c r="A16" s="33" t="s">
        <v>177</v>
      </c>
      <c r="B16" s="34">
        <v>562741</v>
      </c>
      <c r="C16" s="98">
        <f t="shared" si="0"/>
        <v>1118.7938637421748</v>
      </c>
      <c r="D16" s="10">
        <f t="shared" si="1"/>
        <v>314795.5888380676</v>
      </c>
    </row>
    <row r="17" spans="1:4" x14ac:dyDescent="0.25">
      <c r="A17" s="33" t="s">
        <v>215</v>
      </c>
      <c r="B17" s="34">
        <v>28908</v>
      </c>
      <c r="C17" s="98">
        <f t="shared" si="0"/>
        <v>1118.7938637421748</v>
      </c>
      <c r="D17" s="10">
        <f t="shared" si="1"/>
        <v>16171.046506529394</v>
      </c>
    </row>
    <row r="18" spans="1:4" x14ac:dyDescent="0.25">
      <c r="A18" s="33" t="s">
        <v>216</v>
      </c>
      <c r="B18" s="34">
        <v>445000</v>
      </c>
      <c r="C18" s="98">
        <f t="shared" si="0"/>
        <v>1118.7938637421748</v>
      </c>
      <c r="D18" s="10">
        <f t="shared" si="1"/>
        <v>248931.63468263391</v>
      </c>
    </row>
    <row r="19" spans="1:4" x14ac:dyDescent="0.25">
      <c r="A19" s="33" t="s">
        <v>217</v>
      </c>
      <c r="B19" s="34">
        <v>147600</v>
      </c>
      <c r="C19" s="98">
        <f t="shared" si="0"/>
        <v>1118.7938637421748</v>
      </c>
      <c r="D19" s="10">
        <f t="shared" si="1"/>
        <v>82566.987144172512</v>
      </c>
    </row>
    <row r="20" spans="1:4" x14ac:dyDescent="0.25">
      <c r="A20" s="33" t="s">
        <v>179</v>
      </c>
      <c r="B20" s="34">
        <v>187749</v>
      </c>
      <c r="C20" s="98">
        <f t="shared" si="0"/>
        <v>1118.7938637421748</v>
      </c>
      <c r="D20" s="10">
        <f t="shared" si="1"/>
        <v>105026.21456186479</v>
      </c>
    </row>
    <row r="21" spans="1:4" x14ac:dyDescent="0.25">
      <c r="A21" s="33" t="s">
        <v>218</v>
      </c>
      <c r="B21" s="34">
        <v>106240</v>
      </c>
      <c r="C21" s="98">
        <f t="shared" si="0"/>
        <v>1118.7938637421748</v>
      </c>
      <c r="D21" s="10">
        <f t="shared" si="1"/>
        <v>59430.330041984329</v>
      </c>
    </row>
    <row r="22" spans="1:4" x14ac:dyDescent="0.25">
      <c r="A22" s="33" t="s">
        <v>219</v>
      </c>
      <c r="B22" s="34">
        <v>31850</v>
      </c>
      <c r="C22" s="98">
        <f t="shared" si="0"/>
        <v>1118.7938637421748</v>
      </c>
      <c r="D22" s="10">
        <f t="shared" si="1"/>
        <v>17816.792280094134</v>
      </c>
    </row>
    <row r="23" spans="1:4" x14ac:dyDescent="0.25">
      <c r="A23" s="33" t="s">
        <v>220</v>
      </c>
      <c r="B23" s="34">
        <v>30600</v>
      </c>
      <c r="C23" s="98">
        <f t="shared" si="0"/>
        <v>1118.7938637421748</v>
      </c>
      <c r="D23" s="10">
        <f t="shared" si="1"/>
        <v>17117.546115255274</v>
      </c>
    </row>
    <row r="24" spans="1:4" x14ac:dyDescent="0.25">
      <c r="A24" s="33" t="s">
        <v>221</v>
      </c>
      <c r="B24" s="34">
        <v>2456</v>
      </c>
      <c r="C24" s="98">
        <f t="shared" si="0"/>
        <v>1118.7938637421748</v>
      </c>
      <c r="D24" s="10">
        <f t="shared" si="1"/>
        <v>1373.8788646753908</v>
      </c>
    </row>
    <row r="25" spans="1:4" x14ac:dyDescent="0.25">
      <c r="A25" s="33" t="s">
        <v>223</v>
      </c>
      <c r="B25" s="34">
        <v>89317</v>
      </c>
      <c r="C25" s="98">
        <f t="shared" si="0"/>
        <v>1118.7938637421748</v>
      </c>
      <c r="D25" s="10">
        <f t="shared" si="1"/>
        <v>49963.655763929921</v>
      </c>
    </row>
    <row r="26" spans="1:4" x14ac:dyDescent="0.25">
      <c r="A26" s="33" t="s">
        <v>224</v>
      </c>
      <c r="B26" s="34">
        <v>133941</v>
      </c>
      <c r="C26" s="98">
        <f t="shared" si="0"/>
        <v>1118.7938637421748</v>
      </c>
      <c r="D26" s="10">
        <f t="shared" si="1"/>
        <v>74926.184451745314</v>
      </c>
    </row>
    <row r="27" spans="1:4" x14ac:dyDescent="0.25">
      <c r="A27" s="33" t="s">
        <v>226</v>
      </c>
      <c r="B27" s="34">
        <v>53441</v>
      </c>
      <c r="C27" s="98">
        <f t="shared" si="0"/>
        <v>1118.7938637421748</v>
      </c>
      <c r="D27" s="10">
        <f t="shared" si="1"/>
        <v>29894.731436122784</v>
      </c>
    </row>
    <row r="28" spans="1:4" x14ac:dyDescent="0.25">
      <c r="A28" s="33" t="s">
        <v>229</v>
      </c>
      <c r="B28" s="34">
        <v>800</v>
      </c>
      <c r="C28" s="98">
        <f t="shared" si="0"/>
        <v>1118.7938637421748</v>
      </c>
      <c r="D28" s="10">
        <f t="shared" si="1"/>
        <v>447.51754549686996</v>
      </c>
    </row>
    <row r="29" spans="1:4" x14ac:dyDescent="0.25">
      <c r="A29" s="33" t="s">
        <v>230</v>
      </c>
      <c r="B29" s="34">
        <v>882331</v>
      </c>
      <c r="C29" s="98">
        <f t="shared" si="0"/>
        <v>1118.7938637421748</v>
      </c>
      <c r="D29" s="10">
        <f t="shared" si="1"/>
        <v>493573.25429474842</v>
      </c>
    </row>
    <row r="30" spans="1:4" x14ac:dyDescent="0.25">
      <c r="A30" s="33" t="s">
        <v>231</v>
      </c>
      <c r="B30" s="34">
        <v>37654</v>
      </c>
      <c r="C30" s="98">
        <f t="shared" si="0"/>
        <v>1118.7938637421748</v>
      </c>
      <c r="D30" s="10">
        <f t="shared" si="1"/>
        <v>21063.532072673923</v>
      </c>
    </row>
    <row r="31" spans="1:4" x14ac:dyDescent="0.25">
      <c r="A31" s="33" t="s">
        <v>232</v>
      </c>
      <c r="B31" s="34">
        <v>92731</v>
      </c>
      <c r="C31" s="98">
        <f t="shared" si="0"/>
        <v>1118.7938637421748</v>
      </c>
      <c r="D31" s="10">
        <f t="shared" si="1"/>
        <v>51873.436889337805</v>
      </c>
    </row>
    <row r="32" spans="1:4" x14ac:dyDescent="0.25">
      <c r="A32" s="33" t="s">
        <v>233</v>
      </c>
      <c r="B32" s="34">
        <v>1800</v>
      </c>
      <c r="C32" s="98">
        <f t="shared" si="0"/>
        <v>1118.7938637421748</v>
      </c>
      <c r="D32" s="10">
        <f t="shared" si="1"/>
        <v>1006.9144773679574</v>
      </c>
    </row>
    <row r="33" spans="1:4" x14ac:dyDescent="0.25">
      <c r="A33" s="33" t="s">
        <v>235</v>
      </c>
      <c r="B33" s="34">
        <v>14000</v>
      </c>
      <c r="C33" s="98">
        <f t="shared" si="0"/>
        <v>1118.7938637421748</v>
      </c>
      <c r="D33" s="10">
        <f t="shared" si="1"/>
        <v>7831.5570461952238</v>
      </c>
    </row>
    <row r="34" spans="1:4" x14ac:dyDescent="0.25">
      <c r="A34" s="33" t="s">
        <v>236</v>
      </c>
      <c r="B34" s="34">
        <v>143436</v>
      </c>
      <c r="C34" s="98">
        <f t="shared" si="0"/>
        <v>1118.7938637421748</v>
      </c>
      <c r="D34" s="10">
        <f t="shared" si="1"/>
        <v>80237.658319861293</v>
      </c>
    </row>
    <row r="35" spans="1:4" x14ac:dyDescent="0.25">
      <c r="A35" s="33" t="s">
        <v>240</v>
      </c>
      <c r="B35" s="34">
        <v>50</v>
      </c>
      <c r="C35" s="98">
        <f t="shared" si="0"/>
        <v>1118.7938637421748</v>
      </c>
      <c r="D35" s="10">
        <f t="shared" si="1"/>
        <v>27.969846593554372</v>
      </c>
    </row>
    <row r="36" spans="1:4" x14ac:dyDescent="0.25">
      <c r="A36" s="33" t="s">
        <v>243</v>
      </c>
      <c r="B36" s="34">
        <v>400</v>
      </c>
      <c r="C36" s="98">
        <f t="shared" si="0"/>
        <v>1118.7938637421748</v>
      </c>
      <c r="D36" s="10">
        <f t="shared" si="1"/>
        <v>223.75877274843498</v>
      </c>
    </row>
    <row r="37" spans="1:4" x14ac:dyDescent="0.25">
      <c r="A37" s="33" t="s">
        <v>244</v>
      </c>
      <c r="B37" s="34">
        <v>90</v>
      </c>
      <c r="C37" s="98">
        <f t="shared" si="0"/>
        <v>1118.7938637421748</v>
      </c>
      <c r="D37" s="10">
        <f t="shared" si="1"/>
        <v>50.345723868397862</v>
      </c>
    </row>
    <row r="38" spans="1:4" x14ac:dyDescent="0.25">
      <c r="A38" s="33" t="s">
        <v>180</v>
      </c>
      <c r="B38" s="34">
        <v>992212</v>
      </c>
      <c r="C38" s="98">
        <f t="shared" si="0"/>
        <v>1118.7938637421748</v>
      </c>
      <c r="D38" s="10">
        <f t="shared" si="1"/>
        <v>555040.34856567543</v>
      </c>
    </row>
    <row r="39" spans="1:4" x14ac:dyDescent="0.25">
      <c r="A39" s="33" t="s">
        <v>245</v>
      </c>
      <c r="B39" s="34">
        <v>323</v>
      </c>
      <c r="C39" s="98">
        <f t="shared" si="0"/>
        <v>1118.7938637421748</v>
      </c>
      <c r="D39" s="10">
        <f t="shared" si="1"/>
        <v>180.68520899436123</v>
      </c>
    </row>
    <row r="40" spans="1:4" x14ac:dyDescent="0.25">
      <c r="A40" s="33" t="s">
        <v>249</v>
      </c>
      <c r="B40" s="34">
        <v>3400</v>
      </c>
      <c r="C40" s="98">
        <f t="shared" si="0"/>
        <v>1118.7938637421748</v>
      </c>
      <c r="D40" s="10">
        <f t="shared" si="1"/>
        <v>1901.9495683616972</v>
      </c>
    </row>
    <row r="41" spans="1:4" x14ac:dyDescent="0.25">
      <c r="A41" s="33" t="s">
        <v>251</v>
      </c>
      <c r="B41" s="34">
        <v>6592</v>
      </c>
      <c r="C41" s="98">
        <f t="shared" si="0"/>
        <v>1118.7938637421748</v>
      </c>
      <c r="D41" s="10">
        <f t="shared" si="1"/>
        <v>3687.5445748942084</v>
      </c>
    </row>
    <row r="42" spans="1:4" x14ac:dyDescent="0.25">
      <c r="A42" s="33" t="s">
        <v>252</v>
      </c>
      <c r="B42" s="34">
        <v>7969</v>
      </c>
      <c r="C42" s="98">
        <f t="shared" si="0"/>
        <v>1118.7938637421748</v>
      </c>
      <c r="D42" s="10">
        <f t="shared" si="1"/>
        <v>4457.8341500806955</v>
      </c>
    </row>
    <row r="43" spans="1:4" x14ac:dyDescent="0.25">
      <c r="A43" s="33" t="s">
        <v>253</v>
      </c>
      <c r="B43" s="34">
        <v>31600</v>
      </c>
      <c r="C43" s="98">
        <f t="shared" si="0"/>
        <v>1118.7938637421748</v>
      </c>
      <c r="D43" s="10">
        <f t="shared" si="1"/>
        <v>17676.943047126362</v>
      </c>
    </row>
    <row r="44" spans="1:4" x14ac:dyDescent="0.25">
      <c r="A44" s="33" t="s">
        <v>254</v>
      </c>
      <c r="B44" s="34">
        <v>3810</v>
      </c>
      <c r="C44" s="98">
        <f t="shared" si="0"/>
        <v>1118.7938637421748</v>
      </c>
      <c r="D44" s="10">
        <f t="shared" si="1"/>
        <v>2131.3023104288427</v>
      </c>
    </row>
    <row r="45" spans="1:4" x14ac:dyDescent="0.25">
      <c r="A45" s="33" t="s">
        <v>255</v>
      </c>
      <c r="B45" s="34">
        <v>216587</v>
      </c>
      <c r="C45" s="98">
        <f t="shared" si="0"/>
        <v>1118.7938637421748</v>
      </c>
      <c r="D45" s="10">
        <f t="shared" si="1"/>
        <v>121158.1032831632</v>
      </c>
    </row>
    <row r="46" spans="1:4" x14ac:dyDescent="0.25">
      <c r="A46" s="33" t="s">
        <v>256</v>
      </c>
      <c r="B46" s="34">
        <v>68094</v>
      </c>
      <c r="C46" s="98">
        <f t="shared" si="0"/>
        <v>1118.7938637421748</v>
      </c>
      <c r="D46" s="10">
        <f t="shared" si="1"/>
        <v>38091.574678829827</v>
      </c>
    </row>
    <row r="47" spans="1:4" x14ac:dyDescent="0.25">
      <c r="A47" s="33" t="s">
        <v>257</v>
      </c>
      <c r="B47" s="34">
        <v>185612</v>
      </c>
      <c r="C47" s="98">
        <f t="shared" si="0"/>
        <v>1118.7938637421748</v>
      </c>
      <c r="D47" s="10">
        <f t="shared" si="1"/>
        <v>103830.78331845628</v>
      </c>
    </row>
    <row r="48" spans="1:4" x14ac:dyDescent="0.25">
      <c r="A48" s="33" t="s">
        <v>261</v>
      </c>
      <c r="B48" s="34">
        <v>208659</v>
      </c>
      <c r="C48" s="98">
        <f t="shared" si="0"/>
        <v>1118.7938637421748</v>
      </c>
      <c r="D48" s="10">
        <f t="shared" si="1"/>
        <v>116723.20440728923</v>
      </c>
    </row>
    <row r="49" spans="1:4" x14ac:dyDescent="0.25">
      <c r="A49" s="33" t="s">
        <v>183</v>
      </c>
      <c r="B49" s="34">
        <v>316076</v>
      </c>
      <c r="C49" s="98">
        <f t="shared" si="0"/>
        <v>1118.7938637421748</v>
      </c>
      <c r="D49" s="10">
        <f t="shared" si="1"/>
        <v>176811.94463808581</v>
      </c>
    </row>
    <row r="50" spans="1:4" x14ac:dyDescent="0.25">
      <c r="A50" s="33" t="s">
        <v>263</v>
      </c>
      <c r="B50" s="34">
        <v>3600</v>
      </c>
      <c r="C50" s="98">
        <f t="shared" si="0"/>
        <v>1118.7938637421748</v>
      </c>
      <c r="D50" s="10">
        <f t="shared" si="1"/>
        <v>2013.8289547359147</v>
      </c>
    </row>
    <row r="51" spans="1:4" x14ac:dyDescent="0.25">
      <c r="A51" s="33" t="s">
        <v>264</v>
      </c>
      <c r="B51" s="34">
        <v>222154</v>
      </c>
      <c r="C51" s="98">
        <f t="shared" si="0"/>
        <v>1118.7938637421748</v>
      </c>
      <c r="D51" s="10">
        <f t="shared" si="1"/>
        <v>124272.26600288956</v>
      </c>
    </row>
    <row r="52" spans="1:4" x14ac:dyDescent="0.25">
      <c r="A52" s="33" t="s">
        <v>265</v>
      </c>
      <c r="B52" s="34">
        <v>496</v>
      </c>
      <c r="C52" s="98">
        <f t="shared" si="0"/>
        <v>1118.7938637421748</v>
      </c>
      <c r="D52" s="10">
        <f t="shared" si="1"/>
        <v>277.46087820805934</v>
      </c>
    </row>
    <row r="53" spans="1:4" x14ac:dyDescent="0.25">
      <c r="A53" s="33" t="s">
        <v>266</v>
      </c>
      <c r="B53" s="34">
        <v>6590</v>
      </c>
      <c r="C53" s="98">
        <f t="shared" si="0"/>
        <v>1118.7938637421748</v>
      </c>
      <c r="D53" s="10">
        <f t="shared" si="1"/>
        <v>3686.4257810304662</v>
      </c>
    </row>
    <row r="54" spans="1:4" x14ac:dyDescent="0.25">
      <c r="A54" s="33" t="s">
        <v>184</v>
      </c>
      <c r="B54" s="34">
        <v>211502</v>
      </c>
      <c r="C54" s="98">
        <f t="shared" si="0"/>
        <v>1118.7938637421748</v>
      </c>
      <c r="D54" s="10">
        <f t="shared" si="1"/>
        <v>118313.56988459874</v>
      </c>
    </row>
    <row r="55" spans="1:4" x14ac:dyDescent="0.25">
      <c r="A55" s="33" t="s">
        <v>268</v>
      </c>
      <c r="B55" s="34">
        <v>2267825</v>
      </c>
      <c r="C55" s="98">
        <f t="shared" si="0"/>
        <v>1118.7938637421748</v>
      </c>
      <c r="D55" s="10">
        <f t="shared" si="1"/>
        <v>1268614.3470205488</v>
      </c>
    </row>
    <row r="56" spans="1:4" x14ac:dyDescent="0.25">
      <c r="A56" s="33" t="s">
        <v>185</v>
      </c>
      <c r="B56" s="34">
        <v>485252</v>
      </c>
      <c r="C56" s="98">
        <f t="shared" si="0"/>
        <v>1118.7938637421748</v>
      </c>
      <c r="D56" s="10">
        <f t="shared" si="1"/>
        <v>271448.47998430888</v>
      </c>
    </row>
    <row r="57" spans="1:4" x14ac:dyDescent="0.25">
      <c r="A57" s="33" t="s">
        <v>270</v>
      </c>
      <c r="B57" s="34">
        <v>25</v>
      </c>
      <c r="C57" s="98">
        <f t="shared" si="0"/>
        <v>1118.7938637421748</v>
      </c>
      <c r="D57" s="10">
        <f t="shared" si="1"/>
        <v>13.984923296777186</v>
      </c>
    </row>
    <row r="58" spans="1:4" x14ac:dyDescent="0.25">
      <c r="A58" s="33" t="s">
        <v>272</v>
      </c>
      <c r="B58" s="34">
        <v>57116</v>
      </c>
      <c r="C58" s="98">
        <f t="shared" si="0"/>
        <v>1118.7938637421748</v>
      </c>
      <c r="D58" s="10">
        <f t="shared" si="1"/>
        <v>31950.51516074903</v>
      </c>
    </row>
    <row r="59" spans="1:4" x14ac:dyDescent="0.25">
      <c r="A59" s="33" t="s">
        <v>273</v>
      </c>
      <c r="B59" s="34">
        <v>7805</v>
      </c>
      <c r="C59" s="98">
        <f t="shared" si="0"/>
        <v>1118.7938637421748</v>
      </c>
      <c r="D59" s="10">
        <f t="shared" si="1"/>
        <v>4366.0930532538368</v>
      </c>
    </row>
    <row r="60" spans="1:4" x14ac:dyDescent="0.25">
      <c r="A60" s="33" t="s">
        <v>186</v>
      </c>
      <c r="B60" s="34">
        <v>75813</v>
      </c>
      <c r="C60" s="98">
        <f t="shared" si="0"/>
        <v>1118.7938637421748</v>
      </c>
      <c r="D60" s="10">
        <f t="shared" si="1"/>
        <v>42409.559595942752</v>
      </c>
    </row>
    <row r="61" spans="1:4" x14ac:dyDescent="0.25">
      <c r="A61" s="33" t="s">
        <v>276</v>
      </c>
      <c r="B61" s="34">
        <v>407444</v>
      </c>
      <c r="C61" s="98">
        <f t="shared" si="0"/>
        <v>1118.7938637421748</v>
      </c>
      <c r="D61" s="10">
        <f t="shared" si="1"/>
        <v>227922.92350928334</v>
      </c>
    </row>
    <row r="62" spans="1:4" x14ac:dyDescent="0.25">
      <c r="A62" s="33" t="s">
        <v>277</v>
      </c>
      <c r="B62" s="34">
        <v>2895</v>
      </c>
      <c r="C62" s="98">
        <f t="shared" si="0"/>
        <v>1118.7938637421748</v>
      </c>
      <c r="D62" s="10">
        <f t="shared" si="1"/>
        <v>1619.4541177667979</v>
      </c>
    </row>
    <row r="63" spans="1:4" x14ac:dyDescent="0.25">
      <c r="A63" s="33" t="s">
        <v>279</v>
      </c>
      <c r="B63" s="34">
        <v>122625</v>
      </c>
      <c r="C63" s="98">
        <f t="shared" si="0"/>
        <v>1118.7938637421748</v>
      </c>
      <c r="D63" s="10">
        <f t="shared" si="1"/>
        <v>68596.048770692098</v>
      </c>
    </row>
    <row r="64" spans="1:4" x14ac:dyDescent="0.25">
      <c r="A64" s="33" t="s">
        <v>188</v>
      </c>
      <c r="B64" s="34">
        <v>278480</v>
      </c>
      <c r="C64" s="98">
        <f t="shared" si="0"/>
        <v>1118.7938637421748</v>
      </c>
      <c r="D64" s="10">
        <f t="shared" si="1"/>
        <v>155780.85758746043</v>
      </c>
    </row>
    <row r="65" spans="1:4" x14ac:dyDescent="0.25">
      <c r="A65" s="33" t="s">
        <v>280</v>
      </c>
      <c r="B65" s="34">
        <v>7326</v>
      </c>
      <c r="C65" s="98">
        <f t="shared" si="0"/>
        <v>1118.7938637421748</v>
      </c>
      <c r="D65" s="10">
        <f t="shared" si="1"/>
        <v>4098.1419228875866</v>
      </c>
    </row>
    <row r="66" spans="1:4" x14ac:dyDescent="0.25">
      <c r="A66" s="33" t="s">
        <v>281</v>
      </c>
      <c r="B66" s="34">
        <v>9898</v>
      </c>
      <c r="C66" s="98">
        <f t="shared" si="0"/>
        <v>1118.7938637421748</v>
      </c>
      <c r="D66" s="10">
        <f t="shared" si="1"/>
        <v>5536.9108316600232</v>
      </c>
    </row>
    <row r="67" spans="1:4" x14ac:dyDescent="0.25">
      <c r="A67" s="33" t="s">
        <v>284</v>
      </c>
      <c r="B67" s="34">
        <v>850</v>
      </c>
      <c r="C67" s="98">
        <f t="shared" si="0"/>
        <v>1118.7938637421748</v>
      </c>
      <c r="D67" s="10">
        <f t="shared" si="1"/>
        <v>475.48739209042429</v>
      </c>
    </row>
    <row r="68" spans="1:4" x14ac:dyDescent="0.25">
      <c r="A68" s="33" t="s">
        <v>287</v>
      </c>
      <c r="B68" s="34">
        <v>360</v>
      </c>
      <c r="C68" s="98">
        <f t="shared" si="0"/>
        <v>1118.7938637421748</v>
      </c>
      <c r="D68" s="10">
        <f t="shared" si="1"/>
        <v>201.38289547359145</v>
      </c>
    </row>
    <row r="69" spans="1:4" x14ac:dyDescent="0.25">
      <c r="A69" s="33" t="s">
        <v>174</v>
      </c>
      <c r="B69" s="34">
        <v>6088</v>
      </c>
      <c r="C69" s="98">
        <f t="shared" ref="C69:C132" si="2">IF(B69&lt;&gt;0,$H$1,"")</f>
        <v>1118.7938637421748</v>
      </c>
      <c r="D69" s="10">
        <f t="shared" ref="D69:D132" si="3">(+B69*C69)/2000</f>
        <v>3405.60852123118</v>
      </c>
    </row>
    <row r="70" spans="1:4" x14ac:dyDescent="0.25">
      <c r="A70" s="33" t="s">
        <v>175</v>
      </c>
      <c r="B70" s="34">
        <v>76504</v>
      </c>
      <c r="C70" s="98">
        <f t="shared" si="2"/>
        <v>1118.7938637421748</v>
      </c>
      <c r="D70" s="10">
        <f t="shared" si="3"/>
        <v>42796.102875865676</v>
      </c>
    </row>
    <row r="71" spans="1:4" x14ac:dyDescent="0.25">
      <c r="A71" s="33" t="s">
        <v>178</v>
      </c>
      <c r="B71" s="34">
        <v>-23317.616000000002</v>
      </c>
      <c r="C71" s="98">
        <f t="shared" si="2"/>
        <v>1118.7938637421748</v>
      </c>
      <c r="D71" s="10">
        <f t="shared" si="3"/>
        <v>-13043.802848948179</v>
      </c>
    </row>
    <row r="72" spans="1:4" x14ac:dyDescent="0.25">
      <c r="A72" s="33" t="s">
        <v>180</v>
      </c>
      <c r="B72" s="34">
        <v>20000</v>
      </c>
      <c r="C72" s="98">
        <f t="shared" si="2"/>
        <v>1118.7938637421748</v>
      </c>
      <c r="D72" s="10">
        <f t="shared" si="3"/>
        <v>11187.938637421748</v>
      </c>
    </row>
    <row r="73" spans="1:4" x14ac:dyDescent="0.25">
      <c r="A73" s="33" t="s">
        <v>181</v>
      </c>
      <c r="B73" s="34">
        <v>413000</v>
      </c>
      <c r="C73" s="98">
        <f t="shared" si="2"/>
        <v>1118.7938637421748</v>
      </c>
      <c r="D73" s="10">
        <f t="shared" si="3"/>
        <v>231030.9328627591</v>
      </c>
    </row>
    <row r="74" spans="1:4" x14ac:dyDescent="0.25">
      <c r="A74" s="33" t="s">
        <v>183</v>
      </c>
      <c r="B74" s="34">
        <v>38000</v>
      </c>
      <c r="C74" s="98">
        <f t="shared" si="2"/>
        <v>1118.7938637421748</v>
      </c>
      <c r="D74" s="10">
        <f t="shared" si="3"/>
        <v>21257.083411101321</v>
      </c>
    </row>
    <row r="75" spans="1:4" x14ac:dyDescent="0.25">
      <c r="A75" s="33" t="s">
        <v>188</v>
      </c>
      <c r="B75" s="34">
        <v>1533600</v>
      </c>
      <c r="C75" s="98">
        <f t="shared" si="2"/>
        <v>1118.7938637421748</v>
      </c>
      <c r="D75" s="10">
        <f t="shared" si="3"/>
        <v>857891.1347174996</v>
      </c>
    </row>
    <row r="76" spans="1:4" x14ac:dyDescent="0.25">
      <c r="A76" s="33" t="s">
        <v>174</v>
      </c>
      <c r="B76" s="34">
        <v>-4172</v>
      </c>
      <c r="C76" s="98">
        <f t="shared" si="2"/>
        <v>1118.7938637421748</v>
      </c>
      <c r="D76" s="10">
        <f t="shared" si="3"/>
        <v>-2333.8039997661767</v>
      </c>
    </row>
    <row r="77" spans="1:4" x14ac:dyDescent="0.25">
      <c r="A77" s="33" t="s">
        <v>175</v>
      </c>
      <c r="B77" s="34">
        <v>-81545</v>
      </c>
      <c r="C77" s="98">
        <f t="shared" si="2"/>
        <v>1118.7938637421748</v>
      </c>
      <c r="D77" s="10">
        <f t="shared" si="3"/>
        <v>-45616.022809427821</v>
      </c>
    </row>
    <row r="78" spans="1:4" x14ac:dyDescent="0.25">
      <c r="A78" s="33" t="s">
        <v>178</v>
      </c>
      <c r="B78" s="34">
        <v>-43828.805999999997</v>
      </c>
      <c r="C78" s="98">
        <f t="shared" si="2"/>
        <v>1118.7938637421748</v>
      </c>
      <c r="D78" s="10">
        <f t="shared" si="3"/>
        <v>-24517.699603973106</v>
      </c>
    </row>
    <row r="79" spans="1:4" x14ac:dyDescent="0.25">
      <c r="A79" s="33" t="s">
        <v>180</v>
      </c>
      <c r="B79" s="34">
        <v>-17200</v>
      </c>
      <c r="C79" s="98">
        <f t="shared" si="2"/>
        <v>1118.7938637421748</v>
      </c>
      <c r="D79" s="10">
        <f t="shared" si="3"/>
        <v>-9621.6272281827041</v>
      </c>
    </row>
    <row r="80" spans="1:4" x14ac:dyDescent="0.25">
      <c r="A80" s="33" t="s">
        <v>181</v>
      </c>
      <c r="B80" s="34">
        <v>-413000</v>
      </c>
      <c r="C80" s="98">
        <f t="shared" si="2"/>
        <v>1118.7938637421748</v>
      </c>
      <c r="D80" s="10">
        <f t="shared" si="3"/>
        <v>-231030.9328627591</v>
      </c>
    </row>
    <row r="81" spans="1:4" x14ac:dyDescent="0.25">
      <c r="A81" s="33" t="s">
        <v>183</v>
      </c>
      <c r="B81" s="34">
        <v>-68795</v>
      </c>
      <c r="C81" s="98">
        <f t="shared" si="2"/>
        <v>1118.7938637421748</v>
      </c>
      <c r="D81" s="10">
        <f t="shared" si="3"/>
        <v>-38483.711928071461</v>
      </c>
    </row>
    <row r="82" spans="1:4" x14ac:dyDescent="0.25">
      <c r="A82" s="33" t="s">
        <v>188</v>
      </c>
      <c r="B82" s="34">
        <v>-1533600</v>
      </c>
      <c r="C82" s="98">
        <f t="shared" si="2"/>
        <v>1118.7938637421748</v>
      </c>
      <c r="D82" s="10">
        <f t="shared" si="3"/>
        <v>-857891.1347174996</v>
      </c>
    </row>
    <row r="83" spans="1:4" x14ac:dyDescent="0.25">
      <c r="A83" s="33" t="s">
        <v>194</v>
      </c>
      <c r="B83" s="34">
        <v>-39571</v>
      </c>
      <c r="C83" s="98">
        <f t="shared" si="2"/>
        <v>1118.7938637421748</v>
      </c>
      <c r="D83" s="10">
        <f t="shared" si="3"/>
        <v>-22135.8959910708</v>
      </c>
    </row>
    <row r="84" spans="1:4" x14ac:dyDescent="0.25">
      <c r="A84" s="33" t="s">
        <v>195</v>
      </c>
      <c r="B84" s="34">
        <v>-33513</v>
      </c>
      <c r="C84" s="98">
        <f t="shared" si="2"/>
        <v>1118.7938637421748</v>
      </c>
      <c r="D84" s="10">
        <f t="shared" si="3"/>
        <v>-18747.069377795753</v>
      </c>
    </row>
    <row r="85" spans="1:4" x14ac:dyDescent="0.25">
      <c r="A85" s="33" t="s">
        <v>198</v>
      </c>
      <c r="B85" s="34">
        <v>-1600</v>
      </c>
      <c r="C85" s="98">
        <f t="shared" si="2"/>
        <v>1118.7938637421748</v>
      </c>
      <c r="D85" s="10">
        <f t="shared" si="3"/>
        <v>-895.03509099373991</v>
      </c>
    </row>
    <row r="86" spans="1:4" x14ac:dyDescent="0.25">
      <c r="A86" s="33" t="s">
        <v>200</v>
      </c>
      <c r="B86" s="34">
        <v>3599695</v>
      </c>
      <c r="C86" s="98">
        <f t="shared" si="2"/>
        <v>1118.7938637421748</v>
      </c>
      <c r="D86" s="10">
        <f t="shared" si="3"/>
        <v>2013658.338671694</v>
      </c>
    </row>
    <row r="87" spans="1:4" x14ac:dyDescent="0.25">
      <c r="A87" s="33" t="s">
        <v>201</v>
      </c>
      <c r="B87" s="34">
        <v>-152945</v>
      </c>
      <c r="C87" s="98">
        <f t="shared" si="2"/>
        <v>1118.7938637421748</v>
      </c>
      <c r="D87" s="10">
        <f t="shared" si="3"/>
        <v>-85556.963745023459</v>
      </c>
    </row>
    <row r="88" spans="1:4" x14ac:dyDescent="0.25">
      <c r="A88" s="33" t="s">
        <v>175</v>
      </c>
      <c r="B88" s="34">
        <v>-254156</v>
      </c>
      <c r="C88" s="98">
        <f t="shared" si="2"/>
        <v>1118.7938637421748</v>
      </c>
      <c r="D88" s="10">
        <f t="shared" si="3"/>
        <v>-142174.08661662808</v>
      </c>
    </row>
    <row r="89" spans="1:4" x14ac:dyDescent="0.25">
      <c r="A89" s="33" t="s">
        <v>202</v>
      </c>
      <c r="B89" s="34">
        <v>-35</v>
      </c>
      <c r="C89" s="98">
        <f t="shared" si="2"/>
        <v>1118.7938637421748</v>
      </c>
      <c r="D89" s="10">
        <f t="shared" si="3"/>
        <v>-19.578892615488062</v>
      </c>
    </row>
    <row r="90" spans="1:4" x14ac:dyDescent="0.25">
      <c r="A90" s="33" t="s">
        <v>176</v>
      </c>
      <c r="B90" s="34">
        <v>-240421</v>
      </c>
      <c r="C90" s="98">
        <f t="shared" si="2"/>
        <v>1118.7938637421748</v>
      </c>
      <c r="D90" s="10">
        <f t="shared" si="3"/>
        <v>-134490.7697573787</v>
      </c>
    </row>
    <row r="91" spans="1:4" x14ac:dyDescent="0.25">
      <c r="A91" s="33" t="s">
        <v>208</v>
      </c>
      <c r="B91" s="34">
        <v>-3890</v>
      </c>
      <c r="C91" s="98">
        <f t="shared" si="2"/>
        <v>1118.7938637421748</v>
      </c>
      <c r="D91" s="10">
        <f t="shared" si="3"/>
        <v>-2176.0540649785303</v>
      </c>
    </row>
    <row r="92" spans="1:4" x14ac:dyDescent="0.25">
      <c r="A92" s="33" t="s">
        <v>189</v>
      </c>
      <c r="B92" s="34">
        <v>-635716</v>
      </c>
      <c r="C92" s="98">
        <f t="shared" si="2"/>
        <v>1118.7938637421748</v>
      </c>
      <c r="D92" s="10">
        <f t="shared" si="3"/>
        <v>-355617.57994136022</v>
      </c>
    </row>
    <row r="93" spans="1:4" x14ac:dyDescent="0.25">
      <c r="A93" s="33" t="s">
        <v>213</v>
      </c>
      <c r="B93" s="34">
        <v>-15633</v>
      </c>
      <c r="C93" s="98">
        <f t="shared" si="2"/>
        <v>1118.7938637421748</v>
      </c>
      <c r="D93" s="10">
        <f t="shared" si="3"/>
        <v>-8745.0522359407096</v>
      </c>
    </row>
    <row r="94" spans="1:4" x14ac:dyDescent="0.25">
      <c r="A94" s="33" t="s">
        <v>214</v>
      </c>
      <c r="B94" s="34">
        <v>-111736</v>
      </c>
      <c r="C94" s="98">
        <f t="shared" si="2"/>
        <v>1118.7938637421748</v>
      </c>
      <c r="D94" s="10">
        <f t="shared" si="3"/>
        <v>-62504.775579547822</v>
      </c>
    </row>
    <row r="95" spans="1:4" x14ac:dyDescent="0.25">
      <c r="A95" s="33" t="s">
        <v>177</v>
      </c>
      <c r="B95" s="34">
        <v>-61701</v>
      </c>
      <c r="C95" s="98">
        <f t="shared" si="2"/>
        <v>1118.7938637421748</v>
      </c>
      <c r="D95" s="10">
        <f t="shared" si="3"/>
        <v>-34515.350093377965</v>
      </c>
    </row>
    <row r="96" spans="1:4" x14ac:dyDescent="0.25">
      <c r="A96" s="33" t="s">
        <v>215</v>
      </c>
      <c r="B96" s="34">
        <v>-605</v>
      </c>
      <c r="C96" s="98">
        <f t="shared" si="2"/>
        <v>1118.7938637421748</v>
      </c>
      <c r="D96" s="10">
        <f t="shared" si="3"/>
        <v>-338.43514378200791</v>
      </c>
    </row>
    <row r="97" spans="1:4" x14ac:dyDescent="0.25">
      <c r="A97" s="33" t="s">
        <v>216</v>
      </c>
      <c r="B97" s="34">
        <v>-8444</v>
      </c>
      <c r="C97" s="98">
        <f t="shared" si="2"/>
        <v>1118.7938637421748</v>
      </c>
      <c r="D97" s="10">
        <f t="shared" si="3"/>
        <v>-4723.5476927194622</v>
      </c>
    </row>
    <row r="98" spans="1:4" x14ac:dyDescent="0.25">
      <c r="A98" s="33" t="s">
        <v>217</v>
      </c>
      <c r="B98" s="34">
        <v>-182400</v>
      </c>
      <c r="C98" s="98">
        <f t="shared" si="2"/>
        <v>1118.7938637421748</v>
      </c>
      <c r="D98" s="10">
        <f t="shared" si="3"/>
        <v>-102034.00037328636</v>
      </c>
    </row>
    <row r="99" spans="1:4" x14ac:dyDescent="0.25">
      <c r="A99" s="33" t="s">
        <v>179</v>
      </c>
      <c r="B99" s="34">
        <v>-450</v>
      </c>
      <c r="C99" s="98">
        <f t="shared" si="2"/>
        <v>1118.7938637421748</v>
      </c>
      <c r="D99" s="10">
        <f t="shared" si="3"/>
        <v>-251.72861934198934</v>
      </c>
    </row>
    <row r="100" spans="1:4" x14ac:dyDescent="0.25">
      <c r="A100" s="33" t="s">
        <v>218</v>
      </c>
      <c r="B100" s="34">
        <v>-10242</v>
      </c>
      <c r="C100" s="98">
        <f t="shared" si="2"/>
        <v>1118.7938637421748</v>
      </c>
      <c r="D100" s="10">
        <f t="shared" si="3"/>
        <v>-5729.3433762236782</v>
      </c>
    </row>
    <row r="101" spans="1:4" x14ac:dyDescent="0.25">
      <c r="A101" s="33" t="s">
        <v>221</v>
      </c>
      <c r="B101" s="34">
        <v>-6394</v>
      </c>
      <c r="C101" s="98">
        <f t="shared" si="2"/>
        <v>1118.7938637421748</v>
      </c>
      <c r="D101" s="10">
        <f t="shared" si="3"/>
        <v>-3576.783982383733</v>
      </c>
    </row>
    <row r="102" spans="1:4" x14ac:dyDescent="0.25">
      <c r="A102" s="33" t="s">
        <v>223</v>
      </c>
      <c r="B102" s="34">
        <v>-19889</v>
      </c>
      <c r="C102" s="98">
        <f t="shared" si="2"/>
        <v>1118.7938637421748</v>
      </c>
      <c r="D102" s="10">
        <f t="shared" si="3"/>
        <v>-11125.845577984057</v>
      </c>
    </row>
    <row r="103" spans="1:4" x14ac:dyDescent="0.25">
      <c r="A103" s="33" t="s">
        <v>224</v>
      </c>
      <c r="B103" s="34">
        <v>-110920</v>
      </c>
      <c r="C103" s="98">
        <f t="shared" si="2"/>
        <v>1118.7938637421748</v>
      </c>
      <c r="D103" s="10">
        <f t="shared" si="3"/>
        <v>-62048.307683141014</v>
      </c>
    </row>
    <row r="104" spans="1:4" x14ac:dyDescent="0.25">
      <c r="A104" s="33" t="s">
        <v>226</v>
      </c>
      <c r="B104" s="34">
        <v>-22571</v>
      </c>
      <c r="C104" s="98">
        <f t="shared" si="2"/>
        <v>1118.7938637421748</v>
      </c>
      <c r="D104" s="10">
        <f t="shared" si="3"/>
        <v>-12626.148149262315</v>
      </c>
    </row>
    <row r="105" spans="1:4" x14ac:dyDescent="0.25">
      <c r="A105" s="33" t="s">
        <v>229</v>
      </c>
      <c r="B105" s="34">
        <v>-3950</v>
      </c>
      <c r="C105" s="98">
        <f t="shared" si="2"/>
        <v>1118.7938637421748</v>
      </c>
      <c r="D105" s="10">
        <f t="shared" si="3"/>
        <v>-2209.6178808907953</v>
      </c>
    </row>
    <row r="106" spans="1:4" x14ac:dyDescent="0.25">
      <c r="A106" s="33" t="s">
        <v>230</v>
      </c>
      <c r="B106" s="34">
        <v>-485458</v>
      </c>
      <c r="C106" s="98">
        <f t="shared" si="2"/>
        <v>1118.7938637421748</v>
      </c>
      <c r="D106" s="10">
        <f t="shared" si="3"/>
        <v>-271563.71575227432</v>
      </c>
    </row>
    <row r="107" spans="1:4" x14ac:dyDescent="0.25">
      <c r="A107" s="33" t="s">
        <v>232</v>
      </c>
      <c r="B107" s="34">
        <v>-31952</v>
      </c>
      <c r="C107" s="98">
        <f t="shared" si="2"/>
        <v>1118.7938637421748</v>
      </c>
      <c r="D107" s="10">
        <f t="shared" si="3"/>
        <v>-17873.850767144984</v>
      </c>
    </row>
    <row r="108" spans="1:4" x14ac:dyDescent="0.25">
      <c r="A108" s="33" t="s">
        <v>233</v>
      </c>
      <c r="B108" s="34">
        <v>-4800</v>
      </c>
      <c r="C108" s="98">
        <f t="shared" si="2"/>
        <v>1118.7938637421748</v>
      </c>
      <c r="D108" s="10">
        <f t="shared" si="3"/>
        <v>-2685.1052729812195</v>
      </c>
    </row>
    <row r="109" spans="1:4" x14ac:dyDescent="0.25">
      <c r="A109" s="33" t="s">
        <v>235</v>
      </c>
      <c r="B109" s="34">
        <v>-43800</v>
      </c>
      <c r="C109" s="98">
        <f t="shared" si="2"/>
        <v>1118.7938637421748</v>
      </c>
      <c r="D109" s="10">
        <f t="shared" si="3"/>
        <v>-24501.585615953627</v>
      </c>
    </row>
    <row r="110" spans="1:4" x14ac:dyDescent="0.25">
      <c r="A110" s="33" t="s">
        <v>236</v>
      </c>
      <c r="B110" s="34">
        <v>-162587</v>
      </c>
      <c r="C110" s="98">
        <f t="shared" si="2"/>
        <v>1118.7938637421748</v>
      </c>
      <c r="D110" s="10">
        <f t="shared" si="3"/>
        <v>-90950.668962124502</v>
      </c>
    </row>
    <row r="111" spans="1:4" x14ac:dyDescent="0.25">
      <c r="A111" s="33" t="s">
        <v>240</v>
      </c>
      <c r="B111" s="34">
        <v>-400</v>
      </c>
      <c r="C111" s="98">
        <f t="shared" si="2"/>
        <v>1118.7938637421748</v>
      </c>
      <c r="D111" s="10">
        <f t="shared" si="3"/>
        <v>-223.75877274843498</v>
      </c>
    </row>
    <row r="112" spans="1:4" x14ac:dyDescent="0.25">
      <c r="A112" s="33" t="s">
        <v>244</v>
      </c>
      <c r="B112" s="34">
        <v>-2329</v>
      </c>
      <c r="C112" s="98">
        <f t="shared" si="2"/>
        <v>1118.7938637421748</v>
      </c>
      <c r="D112" s="10">
        <f t="shared" si="3"/>
        <v>-1302.8354543277626</v>
      </c>
    </row>
    <row r="113" spans="1:4" x14ac:dyDescent="0.25">
      <c r="A113" s="33" t="s">
        <v>180</v>
      </c>
      <c r="B113" s="34">
        <v>-660584</v>
      </c>
      <c r="C113" s="98">
        <f t="shared" si="2"/>
        <v>1118.7938637421748</v>
      </c>
      <c r="D113" s="10">
        <f t="shared" si="3"/>
        <v>-369528.66284313041</v>
      </c>
    </row>
    <row r="114" spans="1:4" x14ac:dyDescent="0.25">
      <c r="A114" s="33" t="s">
        <v>245</v>
      </c>
      <c r="B114" s="34">
        <v>-558</v>
      </c>
      <c r="C114" s="98">
        <f t="shared" si="2"/>
        <v>1118.7938637421748</v>
      </c>
      <c r="D114" s="10">
        <f t="shared" si="3"/>
        <v>-312.14348798406678</v>
      </c>
    </row>
    <row r="115" spans="1:4" x14ac:dyDescent="0.25">
      <c r="A115" s="33" t="s">
        <v>246</v>
      </c>
      <c r="B115" s="34">
        <v>-9</v>
      </c>
      <c r="C115" s="98">
        <f t="shared" si="2"/>
        <v>1118.7938637421748</v>
      </c>
      <c r="D115" s="10">
        <f t="shared" si="3"/>
        <v>-5.0345723868397876</v>
      </c>
    </row>
    <row r="116" spans="1:4" x14ac:dyDescent="0.25">
      <c r="A116" s="33" t="s">
        <v>251</v>
      </c>
      <c r="B116" s="34">
        <v>-40364</v>
      </c>
      <c r="C116" s="98">
        <f t="shared" si="2"/>
        <v>1118.7938637421748</v>
      </c>
      <c r="D116" s="10">
        <f t="shared" si="3"/>
        <v>-22579.49775804457</v>
      </c>
    </row>
    <row r="117" spans="1:4" x14ac:dyDescent="0.25">
      <c r="A117" s="33" t="s">
        <v>252</v>
      </c>
      <c r="B117" s="34">
        <v>-22137</v>
      </c>
      <c r="C117" s="98">
        <f t="shared" si="2"/>
        <v>1118.7938637421748</v>
      </c>
      <c r="D117" s="10">
        <f t="shared" si="3"/>
        <v>-12383.369880830262</v>
      </c>
    </row>
    <row r="118" spans="1:4" x14ac:dyDescent="0.25">
      <c r="A118" s="33" t="s">
        <v>253</v>
      </c>
      <c r="B118" s="34">
        <v>-33200</v>
      </c>
      <c r="C118" s="98">
        <f t="shared" si="2"/>
        <v>1118.7938637421748</v>
      </c>
      <c r="D118" s="10">
        <f t="shared" si="3"/>
        <v>-18571.978138120103</v>
      </c>
    </row>
    <row r="119" spans="1:4" x14ac:dyDescent="0.25">
      <c r="A119" s="33" t="s">
        <v>254</v>
      </c>
      <c r="B119" s="34">
        <v>-180</v>
      </c>
      <c r="C119" s="98">
        <f t="shared" si="2"/>
        <v>1118.7938637421748</v>
      </c>
      <c r="D119" s="10">
        <f t="shared" si="3"/>
        <v>-100.69144773679572</v>
      </c>
    </row>
    <row r="120" spans="1:4" x14ac:dyDescent="0.25">
      <c r="A120" s="33" t="s">
        <v>255</v>
      </c>
      <c r="B120" s="34">
        <v>-15026</v>
      </c>
      <c r="C120" s="98">
        <f t="shared" si="2"/>
        <v>1118.7938637421748</v>
      </c>
      <c r="D120" s="10">
        <f t="shared" si="3"/>
        <v>-8405.4982982949605</v>
      </c>
    </row>
    <row r="121" spans="1:4" x14ac:dyDescent="0.25">
      <c r="A121" s="33" t="s">
        <v>256</v>
      </c>
      <c r="B121" s="34">
        <v>-141740</v>
      </c>
      <c r="C121" s="98">
        <f t="shared" si="2"/>
        <v>1118.7938637421748</v>
      </c>
      <c r="D121" s="10">
        <f t="shared" si="3"/>
        <v>-79288.921123407927</v>
      </c>
    </row>
    <row r="122" spans="1:4" x14ac:dyDescent="0.25">
      <c r="A122" s="33" t="s">
        <v>257</v>
      </c>
      <c r="B122" s="34">
        <v>-175631</v>
      </c>
      <c r="C122" s="98">
        <f t="shared" si="2"/>
        <v>1118.7938637421748</v>
      </c>
      <c r="D122" s="10">
        <f t="shared" si="3"/>
        <v>-98247.442541450946</v>
      </c>
    </row>
    <row r="123" spans="1:4" x14ac:dyDescent="0.25">
      <c r="A123" s="33" t="s">
        <v>258</v>
      </c>
      <c r="B123" s="34">
        <v>-1400</v>
      </c>
      <c r="C123" s="98">
        <f t="shared" si="2"/>
        <v>1118.7938637421748</v>
      </c>
      <c r="D123" s="10">
        <f t="shared" si="3"/>
        <v>-783.15570461952245</v>
      </c>
    </row>
    <row r="124" spans="1:4" x14ac:dyDescent="0.25">
      <c r="A124" s="33" t="s">
        <v>261</v>
      </c>
      <c r="B124" s="34">
        <v>-88446</v>
      </c>
      <c r="C124" s="98">
        <f t="shared" si="2"/>
        <v>1118.7938637421748</v>
      </c>
      <c r="D124" s="10">
        <f t="shared" si="3"/>
        <v>-49476.4210362702</v>
      </c>
    </row>
    <row r="125" spans="1:4" x14ac:dyDescent="0.25">
      <c r="A125" s="33" t="s">
        <v>183</v>
      </c>
      <c r="B125" s="34">
        <v>-547840</v>
      </c>
      <c r="C125" s="98">
        <f t="shared" si="2"/>
        <v>1118.7938637421748</v>
      </c>
      <c r="D125" s="10">
        <f t="shared" si="3"/>
        <v>-306460.01515625656</v>
      </c>
    </row>
    <row r="126" spans="1:4" x14ac:dyDescent="0.25">
      <c r="A126" s="33" t="s">
        <v>263</v>
      </c>
      <c r="B126" s="34">
        <v>-6800</v>
      </c>
      <c r="C126" s="98">
        <f t="shared" si="2"/>
        <v>1118.7938637421748</v>
      </c>
      <c r="D126" s="10">
        <f t="shared" si="3"/>
        <v>-3803.8991367233943</v>
      </c>
    </row>
    <row r="127" spans="1:4" x14ac:dyDescent="0.25">
      <c r="A127" s="33" t="s">
        <v>264</v>
      </c>
      <c r="B127" s="34">
        <v>-57994</v>
      </c>
      <c r="C127" s="98">
        <f t="shared" si="2"/>
        <v>1118.7938637421748</v>
      </c>
      <c r="D127" s="10">
        <f t="shared" si="3"/>
        <v>-32441.665666931844</v>
      </c>
    </row>
    <row r="128" spans="1:4" x14ac:dyDescent="0.25">
      <c r="A128" s="33" t="s">
        <v>265</v>
      </c>
      <c r="B128" s="34">
        <v>-441</v>
      </c>
      <c r="C128" s="98">
        <f t="shared" si="2"/>
        <v>1118.7938637421748</v>
      </c>
      <c r="D128" s="10">
        <f t="shared" si="3"/>
        <v>-246.69404695514956</v>
      </c>
    </row>
    <row r="129" spans="1:4" x14ac:dyDescent="0.25">
      <c r="A129" s="33" t="s">
        <v>266</v>
      </c>
      <c r="B129" s="34">
        <v>-11919</v>
      </c>
      <c r="C129" s="98">
        <f t="shared" si="2"/>
        <v>1118.7938637421748</v>
      </c>
      <c r="D129" s="10">
        <f t="shared" si="3"/>
        <v>-6667.4520309714908</v>
      </c>
    </row>
    <row r="130" spans="1:4" x14ac:dyDescent="0.25">
      <c r="A130" s="33" t="s">
        <v>267</v>
      </c>
      <c r="B130" s="34">
        <v>-1032</v>
      </c>
      <c r="C130" s="98">
        <f t="shared" si="2"/>
        <v>1118.7938637421748</v>
      </c>
      <c r="D130" s="10">
        <f t="shared" si="3"/>
        <v>-577.29763369096224</v>
      </c>
    </row>
    <row r="131" spans="1:4" x14ac:dyDescent="0.25">
      <c r="A131" s="33" t="s">
        <v>184</v>
      </c>
      <c r="B131" s="34">
        <v>-33841</v>
      </c>
      <c r="C131" s="98">
        <f t="shared" si="2"/>
        <v>1118.7938637421748</v>
      </c>
      <c r="D131" s="10">
        <f t="shared" si="3"/>
        <v>-18930.551571449469</v>
      </c>
    </row>
    <row r="132" spans="1:4" x14ac:dyDescent="0.25">
      <c r="A132" s="33" t="s">
        <v>268</v>
      </c>
      <c r="B132" s="34">
        <v>-272319</v>
      </c>
      <c r="C132" s="98">
        <f t="shared" si="2"/>
        <v>1118.7938637421748</v>
      </c>
      <c r="D132" s="10">
        <f t="shared" si="3"/>
        <v>-152334.41309020267</v>
      </c>
    </row>
    <row r="133" spans="1:4" x14ac:dyDescent="0.25">
      <c r="A133" s="33" t="s">
        <v>185</v>
      </c>
      <c r="B133" s="34">
        <v>-446690</v>
      </c>
      <c r="C133" s="98">
        <f t="shared" ref="C133:C145" si="4">IF(B133&lt;&gt;0,$H$1,"")</f>
        <v>1118.7938637421748</v>
      </c>
      <c r="D133" s="10">
        <f t="shared" ref="D133:D145" si="5">(+B133*C133)/2000</f>
        <v>-249877.01549749603</v>
      </c>
    </row>
    <row r="134" spans="1:4" x14ac:dyDescent="0.25">
      <c r="A134" s="33" t="s">
        <v>270</v>
      </c>
      <c r="B134" s="34">
        <v>-3532</v>
      </c>
      <c r="C134" s="98">
        <f t="shared" si="4"/>
        <v>1118.7938637421748</v>
      </c>
      <c r="D134" s="10">
        <f t="shared" si="5"/>
        <v>-1975.7899633686809</v>
      </c>
    </row>
    <row r="135" spans="1:4" x14ac:dyDescent="0.25">
      <c r="A135" s="33" t="s">
        <v>271</v>
      </c>
      <c r="B135" s="34">
        <v>-35</v>
      </c>
      <c r="C135" s="98">
        <f t="shared" si="4"/>
        <v>1118.7938637421748</v>
      </c>
      <c r="D135" s="10">
        <f t="shared" si="5"/>
        <v>-19.578892615488062</v>
      </c>
    </row>
    <row r="136" spans="1:4" x14ac:dyDescent="0.25">
      <c r="A136" s="33" t="s">
        <v>272</v>
      </c>
      <c r="B136" s="34">
        <v>-10967</v>
      </c>
      <c r="C136" s="98">
        <f t="shared" si="4"/>
        <v>1118.7938637421748</v>
      </c>
      <c r="D136" s="10">
        <f t="shared" si="5"/>
        <v>-6134.906151830216</v>
      </c>
    </row>
    <row r="137" spans="1:4" x14ac:dyDescent="0.25">
      <c r="A137" s="33" t="s">
        <v>273</v>
      </c>
      <c r="B137" s="34">
        <v>-502250</v>
      </c>
      <c r="C137" s="98">
        <f t="shared" si="4"/>
        <v>1118.7938637421748</v>
      </c>
      <c r="D137" s="10">
        <f t="shared" si="5"/>
        <v>-280957.10903225368</v>
      </c>
    </row>
    <row r="138" spans="1:4" x14ac:dyDescent="0.25">
      <c r="A138" s="33" t="s">
        <v>186</v>
      </c>
      <c r="B138" s="34">
        <v>-2294</v>
      </c>
      <c r="C138" s="98">
        <f t="shared" si="4"/>
        <v>1118.7938637421748</v>
      </c>
      <c r="D138" s="10">
        <f t="shared" si="5"/>
        <v>-1283.2565617122746</v>
      </c>
    </row>
    <row r="139" spans="1:4" x14ac:dyDescent="0.25">
      <c r="A139" s="33" t="s">
        <v>276</v>
      </c>
      <c r="B139" s="34">
        <v>-71305</v>
      </c>
      <c r="C139" s="98">
        <f t="shared" si="4"/>
        <v>1118.7938637421748</v>
      </c>
      <c r="D139" s="10">
        <f t="shared" si="5"/>
        <v>-39887.798227067891</v>
      </c>
    </row>
    <row r="140" spans="1:4" x14ac:dyDescent="0.25">
      <c r="A140" s="33" t="s">
        <v>279</v>
      </c>
      <c r="B140" s="34">
        <v>-14698</v>
      </c>
      <c r="C140" s="98">
        <f t="shared" si="4"/>
        <v>1118.7938637421748</v>
      </c>
      <c r="D140" s="10">
        <f t="shared" si="5"/>
        <v>-8222.0161046412431</v>
      </c>
    </row>
    <row r="141" spans="1:4" x14ac:dyDescent="0.25">
      <c r="A141" s="33" t="s">
        <v>188</v>
      </c>
      <c r="B141" s="34">
        <v>-297158</v>
      </c>
      <c r="C141" s="98">
        <f t="shared" si="4"/>
        <v>1118.7938637421748</v>
      </c>
      <c r="D141" s="10">
        <f t="shared" si="5"/>
        <v>-166229.27348094858</v>
      </c>
    </row>
    <row r="142" spans="1:4" x14ac:dyDescent="0.25">
      <c r="A142" s="33" t="s">
        <v>280</v>
      </c>
      <c r="B142" s="34">
        <v>-4687</v>
      </c>
      <c r="C142" s="98">
        <f t="shared" si="4"/>
        <v>1118.7938637421748</v>
      </c>
      <c r="D142" s="10">
        <f t="shared" si="5"/>
        <v>-2621.8934196797863</v>
      </c>
    </row>
    <row r="143" spans="1:4" x14ac:dyDescent="0.25">
      <c r="A143" s="33" t="s">
        <v>281</v>
      </c>
      <c r="B143" s="34">
        <v>-10850</v>
      </c>
      <c r="C143" s="98">
        <f t="shared" si="4"/>
        <v>1118.7938637421748</v>
      </c>
      <c r="D143" s="10">
        <f t="shared" si="5"/>
        <v>-6069.4567108012989</v>
      </c>
    </row>
    <row r="144" spans="1:4" x14ac:dyDescent="0.25">
      <c r="A144" s="33" t="s">
        <v>284</v>
      </c>
      <c r="B144" s="34">
        <v>-3013</v>
      </c>
      <c r="C144" s="98">
        <f t="shared" si="4"/>
        <v>1118.7938637421748</v>
      </c>
      <c r="D144" s="10">
        <f t="shared" si="5"/>
        <v>-1685.4629557275862</v>
      </c>
    </row>
    <row r="145" spans="1:4" x14ac:dyDescent="0.25">
      <c r="A145" s="33" t="s">
        <v>287</v>
      </c>
      <c r="B145" s="34">
        <v>-80</v>
      </c>
      <c r="C145" s="98">
        <f t="shared" si="4"/>
        <v>1118.7938637421748</v>
      </c>
      <c r="D145" s="10">
        <f t="shared" si="5"/>
        <v>-44.751754549686993</v>
      </c>
    </row>
    <row r="146" spans="1:4" x14ac:dyDescent="0.25">
      <c r="A146" s="33"/>
      <c r="B146" s="34"/>
      <c r="C146" s="9"/>
      <c r="D146" s="10"/>
    </row>
    <row r="147" spans="1:4" ht="15.75" thickBot="1" x14ac:dyDescent="0.3">
      <c r="A147" s="36"/>
      <c r="B147" s="37"/>
      <c r="C147" s="15"/>
      <c r="D147" s="16"/>
    </row>
    <row r="148" spans="1:4" ht="16.5" thickTop="1" thickBot="1" x14ac:dyDescent="0.3">
      <c r="A148" s="13"/>
      <c r="B148" s="96">
        <f>SUM(B4:B147)</f>
        <v>4408167.4979999997</v>
      </c>
      <c r="C148" s="14"/>
      <c r="D148" s="97">
        <f>SUM(D4:D147)</f>
        <v>2465915.3735550479</v>
      </c>
    </row>
  </sheetData>
  <hyperlinks>
    <hyperlink ref="D1"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76"/>
  <sheetViews>
    <sheetView showGridLines="0" tabSelected="1" topLeftCell="A40" zoomScaleNormal="100" workbookViewId="0">
      <selection activeCell="D75" sqref="D75"/>
    </sheetView>
  </sheetViews>
  <sheetFormatPr defaultRowHeight="15" x14ac:dyDescent="0.25"/>
  <cols>
    <col min="1" max="1" width="2.7109375" style="143" customWidth="1"/>
    <col min="2" max="2" width="47.5703125" style="162" customWidth="1"/>
    <col min="3" max="3" width="13.140625" style="149" customWidth="1"/>
    <col min="4" max="4" width="12.5703125" style="149" customWidth="1"/>
    <col min="5" max="5" width="14.28515625" style="149" customWidth="1"/>
    <col min="6" max="6" width="18.7109375" style="149" customWidth="1"/>
    <col min="7" max="7" width="12" style="149" customWidth="1"/>
    <col min="8" max="8" width="9.7109375" style="143" customWidth="1"/>
    <col min="9" max="9" width="10.5703125" style="143" customWidth="1"/>
    <col min="10" max="16384" width="9.140625" style="143"/>
  </cols>
  <sheetData>
    <row r="1" spans="2:7" ht="25.5" customHeight="1" x14ac:dyDescent="0.25">
      <c r="B1" s="142" t="s">
        <v>464</v>
      </c>
      <c r="C1" s="148"/>
      <c r="E1" s="150"/>
    </row>
    <row r="2" spans="2:7" x14ac:dyDescent="0.25">
      <c r="B2" s="230" t="s">
        <v>0</v>
      </c>
      <c r="C2" s="226" t="s">
        <v>31</v>
      </c>
      <c r="D2" s="228" t="s">
        <v>7</v>
      </c>
      <c r="E2" s="163" t="s">
        <v>5</v>
      </c>
      <c r="F2" s="226" t="s">
        <v>465</v>
      </c>
      <c r="G2" s="226" t="s">
        <v>466</v>
      </c>
    </row>
    <row r="3" spans="2:7" ht="18" x14ac:dyDescent="0.25">
      <c r="B3" s="231"/>
      <c r="C3" s="227"/>
      <c r="D3" s="229"/>
      <c r="E3" s="167" t="s">
        <v>8</v>
      </c>
      <c r="F3" s="227"/>
      <c r="G3" s="227"/>
    </row>
    <row r="4" spans="2:7" ht="15" customHeight="1" x14ac:dyDescent="0.25">
      <c r="B4" s="223" t="s">
        <v>477</v>
      </c>
      <c r="C4" s="224"/>
      <c r="D4" s="224"/>
      <c r="E4" s="224"/>
      <c r="F4" s="224"/>
      <c r="G4" s="225"/>
    </row>
    <row r="5" spans="2:7" x14ac:dyDescent="0.25">
      <c r="B5" s="159" t="s">
        <v>294</v>
      </c>
      <c r="C5" s="152">
        <v>313112.18</v>
      </c>
      <c r="D5" s="152">
        <v>0</v>
      </c>
      <c r="E5" s="152">
        <v>0</v>
      </c>
      <c r="F5" s="157" t="s">
        <v>462</v>
      </c>
      <c r="G5" s="157" t="s">
        <v>467</v>
      </c>
    </row>
    <row r="6" spans="2:7" x14ac:dyDescent="0.25">
      <c r="B6" s="158" t="s">
        <v>295</v>
      </c>
      <c r="C6" s="151">
        <v>60898.3</v>
      </c>
      <c r="D6" s="151">
        <v>0</v>
      </c>
      <c r="E6" s="151">
        <v>0</v>
      </c>
      <c r="F6" s="156" t="s">
        <v>462</v>
      </c>
      <c r="G6" s="156" t="s">
        <v>467</v>
      </c>
    </row>
    <row r="7" spans="2:7" x14ac:dyDescent="0.25">
      <c r="B7" s="158" t="s">
        <v>296</v>
      </c>
      <c r="C7" s="151">
        <v>135067</v>
      </c>
      <c r="D7" s="151">
        <v>0</v>
      </c>
      <c r="E7" s="151">
        <v>0</v>
      </c>
      <c r="F7" s="156" t="s">
        <v>462</v>
      </c>
      <c r="G7" s="156" t="s">
        <v>467</v>
      </c>
    </row>
    <row r="8" spans="2:7" x14ac:dyDescent="0.25">
      <c r="B8" s="158" t="s">
        <v>297</v>
      </c>
      <c r="C8" s="151">
        <v>355743.79</v>
      </c>
      <c r="D8" s="151">
        <v>0</v>
      </c>
      <c r="E8" s="151">
        <v>0</v>
      </c>
      <c r="F8" s="156" t="s">
        <v>462</v>
      </c>
      <c r="G8" s="156" t="s">
        <v>467</v>
      </c>
    </row>
    <row r="9" spans="2:7" x14ac:dyDescent="0.25">
      <c r="B9" s="158" t="s">
        <v>312</v>
      </c>
      <c r="C9" s="151">
        <v>1908332</v>
      </c>
      <c r="D9" s="151">
        <v>2441.8001503916635</v>
      </c>
      <c r="E9" s="151">
        <v>2195144.1646753503</v>
      </c>
      <c r="F9" s="156" t="s">
        <v>462</v>
      </c>
      <c r="G9" s="156" t="s">
        <v>468</v>
      </c>
    </row>
    <row r="10" spans="2:7" x14ac:dyDescent="0.25">
      <c r="B10" s="158" t="s">
        <v>313</v>
      </c>
      <c r="C10" s="151">
        <v>2555373</v>
      </c>
      <c r="D10" s="151">
        <v>2228.0063269695393</v>
      </c>
      <c r="E10" s="151">
        <v>2712567.6528599248</v>
      </c>
      <c r="F10" s="156" t="s">
        <v>462</v>
      </c>
      <c r="G10" s="156" t="s">
        <v>468</v>
      </c>
    </row>
    <row r="11" spans="2:7" x14ac:dyDescent="0.25">
      <c r="B11" s="158" t="s">
        <v>298</v>
      </c>
      <c r="C11" s="151">
        <v>395.71</v>
      </c>
      <c r="D11" s="151">
        <v>1858.9419679082521</v>
      </c>
      <c r="E11" s="151">
        <v>367.80096306048716</v>
      </c>
      <c r="F11" s="156" t="s">
        <v>462</v>
      </c>
      <c r="G11" s="156" t="s">
        <v>469</v>
      </c>
    </row>
    <row r="12" spans="2:7" x14ac:dyDescent="0.25">
      <c r="B12" s="158" t="s">
        <v>442</v>
      </c>
      <c r="C12" s="151">
        <v>69341.556666666671</v>
      </c>
      <c r="D12" s="151">
        <v>1046.0304012398562</v>
      </c>
      <c r="E12" s="151">
        <v>36266.688171314781</v>
      </c>
      <c r="F12" s="156" t="s">
        <v>462</v>
      </c>
      <c r="G12" s="156" t="s">
        <v>470</v>
      </c>
    </row>
    <row r="13" spans="2:7" x14ac:dyDescent="0.25">
      <c r="B13" s="158" t="s">
        <v>443</v>
      </c>
      <c r="C13" s="151">
        <v>66479.666666666672</v>
      </c>
      <c r="D13" s="151">
        <v>1056.8942446081085</v>
      </c>
      <c r="E13" s="151">
        <v>35130.98854173276</v>
      </c>
      <c r="F13" s="156" t="s">
        <v>462</v>
      </c>
      <c r="G13" s="156" t="s">
        <v>470</v>
      </c>
    </row>
    <row r="14" spans="2:7" x14ac:dyDescent="0.25">
      <c r="B14" s="158" t="s">
        <v>444</v>
      </c>
      <c r="C14" s="151">
        <v>69377.666666666672</v>
      </c>
      <c r="D14" s="151">
        <v>1063.9328111142227</v>
      </c>
      <c r="E14" s="151">
        <v>36906.587962606085</v>
      </c>
      <c r="F14" s="156" t="s">
        <v>462</v>
      </c>
      <c r="G14" s="156" t="s">
        <v>470</v>
      </c>
    </row>
    <row r="15" spans="2:7" x14ac:dyDescent="0.25">
      <c r="B15" s="158" t="s">
        <v>445</v>
      </c>
      <c r="C15" s="151">
        <v>383067.5</v>
      </c>
      <c r="D15" s="151">
        <v>1005.315445437682</v>
      </c>
      <c r="E15" s="151">
        <v>192551.83719759961</v>
      </c>
      <c r="F15" s="156" t="s">
        <v>462</v>
      </c>
      <c r="G15" s="156" t="s">
        <v>470</v>
      </c>
    </row>
    <row r="16" spans="2:7" x14ac:dyDescent="0.25">
      <c r="B16" s="158" t="s">
        <v>446</v>
      </c>
      <c r="C16" s="151">
        <v>381872.5</v>
      </c>
      <c r="D16" s="151">
        <v>1015.2165279087689</v>
      </c>
      <c r="E16" s="151">
        <v>193841.63677692067</v>
      </c>
      <c r="F16" s="156" t="s">
        <v>462</v>
      </c>
      <c r="G16" s="156" t="s">
        <v>470</v>
      </c>
    </row>
    <row r="17" spans="2:7" x14ac:dyDescent="0.25">
      <c r="B17" s="158" t="s">
        <v>447</v>
      </c>
      <c r="C17" s="151">
        <v>18492.38</v>
      </c>
      <c r="D17" s="151">
        <v>2369.656927571215</v>
      </c>
      <c r="E17" s="151">
        <v>21910.298187139695</v>
      </c>
      <c r="F17" s="156" t="s">
        <v>462</v>
      </c>
      <c r="G17" s="156" t="s">
        <v>470</v>
      </c>
    </row>
    <row r="18" spans="2:7" x14ac:dyDescent="0.25">
      <c r="B18" s="158" t="s">
        <v>448</v>
      </c>
      <c r="C18" s="151">
        <v>11359.81</v>
      </c>
      <c r="D18" s="151">
        <v>4743.6429433642934</v>
      </c>
      <c r="E18" s="151">
        <v>26943.441272229567</v>
      </c>
      <c r="F18" s="156" t="s">
        <v>462</v>
      </c>
      <c r="G18" s="156" t="s">
        <v>470</v>
      </c>
    </row>
    <row r="19" spans="2:7" x14ac:dyDescent="0.25">
      <c r="B19" s="158" t="s">
        <v>449</v>
      </c>
      <c r="C19" s="151">
        <v>44480.2</v>
      </c>
      <c r="D19" s="151">
        <v>1892.6194969474604</v>
      </c>
      <c r="E19" s="151">
        <v>42092.046874061212</v>
      </c>
      <c r="F19" s="156" t="s">
        <v>462</v>
      </c>
      <c r="G19" s="156" t="s">
        <v>470</v>
      </c>
    </row>
    <row r="20" spans="2:7" x14ac:dyDescent="0.25">
      <c r="B20" s="158" t="s">
        <v>450</v>
      </c>
      <c r="C20" s="151">
        <v>45383.9</v>
      </c>
      <c r="D20" s="151">
        <v>1926.9862676248074</v>
      </c>
      <c r="E20" s="151">
        <v>43727.07603562875</v>
      </c>
      <c r="F20" s="156" t="s">
        <v>462</v>
      </c>
      <c r="G20" s="156" t="s">
        <v>470</v>
      </c>
    </row>
    <row r="21" spans="2:7" x14ac:dyDescent="0.25">
      <c r="B21" s="158" t="s">
        <v>451</v>
      </c>
      <c r="C21" s="151">
        <v>16507.7</v>
      </c>
      <c r="D21" s="151">
        <v>1244.4855006775231</v>
      </c>
      <c r="E21" s="151">
        <v>10271.796649767173</v>
      </c>
      <c r="F21" s="156" t="s">
        <v>462</v>
      </c>
      <c r="G21" s="156" t="s">
        <v>470</v>
      </c>
    </row>
    <row r="22" spans="2:7" x14ac:dyDescent="0.25">
      <c r="B22" s="158" t="s">
        <v>452</v>
      </c>
      <c r="C22" s="151">
        <v>17879.900000000001</v>
      </c>
      <c r="D22" s="151">
        <v>1215.8677011308239</v>
      </c>
      <c r="E22" s="151">
        <v>10869.79645472451</v>
      </c>
      <c r="F22" s="156" t="s">
        <v>462</v>
      </c>
      <c r="G22" s="156" t="s">
        <v>470</v>
      </c>
    </row>
    <row r="23" spans="2:7" x14ac:dyDescent="0.25">
      <c r="B23" s="158" t="s">
        <v>453</v>
      </c>
      <c r="C23" s="151">
        <v>464326.82799999998</v>
      </c>
      <c r="D23" s="151">
        <v>833.28403394354575</v>
      </c>
      <c r="E23" s="151">
        <v>193458.06615202545</v>
      </c>
      <c r="F23" s="156" t="s">
        <v>462</v>
      </c>
      <c r="G23" s="156" t="s">
        <v>470</v>
      </c>
    </row>
    <row r="24" spans="2:7" x14ac:dyDescent="0.25">
      <c r="B24" s="158" t="s">
        <v>305</v>
      </c>
      <c r="C24" s="151">
        <v>1119821</v>
      </c>
      <c r="D24" s="151">
        <v>816.33895224428784</v>
      </c>
      <c r="E24" s="151">
        <v>457076.75092057534</v>
      </c>
      <c r="F24" s="156" t="s">
        <v>462</v>
      </c>
      <c r="G24" s="156" t="s">
        <v>470</v>
      </c>
    </row>
    <row r="25" spans="2:7" x14ac:dyDescent="0.25">
      <c r="B25" s="158" t="s">
        <v>308</v>
      </c>
      <c r="C25" s="151">
        <v>915875.39999999991</v>
      </c>
      <c r="D25" s="151">
        <v>856.71319928697551</v>
      </c>
      <c r="E25" s="151">
        <v>392321.27204111917</v>
      </c>
      <c r="F25" s="156" t="s">
        <v>462</v>
      </c>
      <c r="G25" s="156" t="s">
        <v>470</v>
      </c>
    </row>
    <row r="26" spans="2:7" x14ac:dyDescent="0.25">
      <c r="B26" s="158" t="s">
        <v>309</v>
      </c>
      <c r="C26" s="151">
        <v>266588.09999999998</v>
      </c>
      <c r="D26" s="151">
        <v>1036.5703115415258</v>
      </c>
      <c r="E26" s="151">
        <v>138168.65493513169</v>
      </c>
      <c r="F26" s="156" t="s">
        <v>462</v>
      </c>
      <c r="G26" s="156" t="s">
        <v>470</v>
      </c>
    </row>
    <row r="27" spans="2:7" x14ac:dyDescent="0.25">
      <c r="B27" s="158" t="s">
        <v>454</v>
      </c>
      <c r="C27" s="151">
        <v>7642.7</v>
      </c>
      <c r="D27" s="151">
        <v>3936.5107163485673</v>
      </c>
      <c r="E27" s="151">
        <v>15042.785225918597</v>
      </c>
      <c r="F27" s="156" t="s">
        <v>462</v>
      </c>
      <c r="G27" s="156" t="s">
        <v>470</v>
      </c>
    </row>
    <row r="28" spans="2:7" x14ac:dyDescent="0.25">
      <c r="B28" s="158" t="s">
        <v>455</v>
      </c>
      <c r="C28" s="151">
        <v>25400.9</v>
      </c>
      <c r="D28" s="151">
        <v>4661.1800363612656</v>
      </c>
      <c r="E28" s="151">
        <v>59199.083992804437</v>
      </c>
      <c r="F28" s="156" t="s">
        <v>462</v>
      </c>
      <c r="G28" s="156" t="s">
        <v>470</v>
      </c>
    </row>
    <row r="29" spans="2:7" x14ac:dyDescent="0.25">
      <c r="B29" s="158" t="s">
        <v>306</v>
      </c>
      <c r="C29" s="151">
        <v>345425.18400000001</v>
      </c>
      <c r="D29" s="151">
        <v>0</v>
      </c>
      <c r="E29" s="151">
        <v>0</v>
      </c>
      <c r="F29" s="156" t="s">
        <v>462</v>
      </c>
      <c r="G29" s="156" t="s">
        <v>471</v>
      </c>
    </row>
    <row r="30" spans="2:7" x14ac:dyDescent="0.25">
      <c r="B30" s="158" t="s">
        <v>307</v>
      </c>
      <c r="C30" s="151">
        <v>716381.07799999998</v>
      </c>
      <c r="D30" s="151">
        <v>0</v>
      </c>
      <c r="E30" s="151">
        <v>0</v>
      </c>
      <c r="F30" s="156" t="s">
        <v>462</v>
      </c>
      <c r="G30" s="156" t="s">
        <v>471</v>
      </c>
    </row>
    <row r="31" spans="2:7" x14ac:dyDescent="0.25">
      <c r="B31" s="164" t="s">
        <v>311</v>
      </c>
      <c r="C31" s="165">
        <v>612984.08900000004</v>
      </c>
      <c r="D31" s="165">
        <v>0</v>
      </c>
      <c r="E31" s="165">
        <v>0</v>
      </c>
      <c r="F31" s="166" t="s">
        <v>462</v>
      </c>
      <c r="G31" s="166" t="s">
        <v>471</v>
      </c>
    </row>
    <row r="32" spans="2:7" x14ac:dyDescent="0.25">
      <c r="B32" s="223" t="s">
        <v>476</v>
      </c>
      <c r="C32" s="224"/>
      <c r="D32" s="224"/>
      <c r="E32" s="224"/>
      <c r="F32" s="224"/>
      <c r="G32" s="225"/>
    </row>
    <row r="33" spans="2:7" x14ac:dyDescent="0.25">
      <c r="B33" s="159" t="s">
        <v>314</v>
      </c>
      <c r="C33" s="152">
        <v>25.266999999999999</v>
      </c>
      <c r="D33" s="152">
        <v>0</v>
      </c>
      <c r="E33" s="152">
        <v>0</v>
      </c>
      <c r="F33" s="157" t="s">
        <v>475</v>
      </c>
      <c r="G33" s="157" t="s">
        <v>471</v>
      </c>
    </row>
    <row r="34" spans="2:7" x14ac:dyDescent="0.25">
      <c r="B34" s="158" t="s">
        <v>315</v>
      </c>
      <c r="C34" s="151">
        <v>21209.738000000001</v>
      </c>
      <c r="D34" s="151">
        <v>1004</v>
      </c>
      <c r="E34" s="151">
        <v>10647.288476</v>
      </c>
      <c r="F34" s="156" t="s">
        <v>463</v>
      </c>
      <c r="G34" s="156" t="s">
        <v>467</v>
      </c>
    </row>
    <row r="35" spans="2:7" x14ac:dyDescent="0.25">
      <c r="B35" s="158" t="s">
        <v>316</v>
      </c>
      <c r="C35" s="151">
        <v>4.5519999999999996</v>
      </c>
      <c r="D35" s="151">
        <v>0</v>
      </c>
      <c r="E35" s="151">
        <v>0</v>
      </c>
      <c r="F35" s="156" t="s">
        <v>475</v>
      </c>
      <c r="G35" s="156" t="s">
        <v>472</v>
      </c>
    </row>
    <row r="36" spans="2:7" x14ac:dyDescent="0.25">
      <c r="B36" s="158" t="s">
        <v>317</v>
      </c>
      <c r="C36" s="151">
        <v>11718.129000000001</v>
      </c>
      <c r="D36" s="151">
        <v>0</v>
      </c>
      <c r="E36" s="151">
        <v>0</v>
      </c>
      <c r="F36" s="156" t="s">
        <v>475</v>
      </c>
      <c r="G36" s="156" t="s">
        <v>467</v>
      </c>
    </row>
    <row r="37" spans="2:7" x14ac:dyDescent="0.25">
      <c r="B37" s="158" t="s">
        <v>435</v>
      </c>
      <c r="C37" s="151">
        <v>1.3180000000000001</v>
      </c>
      <c r="D37" s="151">
        <v>0</v>
      </c>
      <c r="E37" s="151">
        <v>0</v>
      </c>
      <c r="F37" s="156" t="s">
        <v>475</v>
      </c>
      <c r="G37" s="156" t="s">
        <v>472</v>
      </c>
    </row>
    <row r="38" spans="2:7" x14ac:dyDescent="0.25">
      <c r="B38" s="158" t="s">
        <v>175</v>
      </c>
      <c r="C38" s="151">
        <v>7000</v>
      </c>
      <c r="D38" s="151">
        <v>1004</v>
      </c>
      <c r="E38" s="151">
        <v>3514</v>
      </c>
      <c r="F38" s="156" t="s">
        <v>463</v>
      </c>
      <c r="G38" s="156" t="s">
        <v>473</v>
      </c>
    </row>
    <row r="39" spans="2:7" x14ac:dyDescent="0.25">
      <c r="B39" s="158" t="s">
        <v>318</v>
      </c>
      <c r="C39" s="151">
        <v>241574</v>
      </c>
      <c r="D39" s="151">
        <v>1004</v>
      </c>
      <c r="E39" s="151">
        <v>121270.148</v>
      </c>
      <c r="F39" s="156" t="s">
        <v>463</v>
      </c>
      <c r="G39" s="156" t="s">
        <v>473</v>
      </c>
    </row>
    <row r="40" spans="2:7" x14ac:dyDescent="0.25">
      <c r="B40" s="158" t="s">
        <v>319</v>
      </c>
      <c r="C40" s="151">
        <v>29.26</v>
      </c>
      <c r="D40" s="151">
        <v>0</v>
      </c>
      <c r="E40" s="151">
        <v>0</v>
      </c>
      <c r="F40" s="156" t="s">
        <v>475</v>
      </c>
      <c r="G40" s="156" t="s">
        <v>474</v>
      </c>
    </row>
    <row r="41" spans="2:7" x14ac:dyDescent="0.25">
      <c r="B41" s="158" t="s">
        <v>320</v>
      </c>
      <c r="C41" s="151">
        <v>2315054</v>
      </c>
      <c r="D41" s="151">
        <v>0</v>
      </c>
      <c r="E41" s="151">
        <v>0</v>
      </c>
      <c r="F41" s="156" t="s">
        <v>475</v>
      </c>
      <c r="G41" s="156" t="s">
        <v>467</v>
      </c>
    </row>
    <row r="42" spans="2:7" x14ac:dyDescent="0.25">
      <c r="B42" s="158" t="s">
        <v>321</v>
      </c>
      <c r="C42" s="151">
        <v>-39402</v>
      </c>
      <c r="D42" s="151">
        <v>0</v>
      </c>
      <c r="E42" s="151">
        <v>0</v>
      </c>
      <c r="F42" s="156" t="s">
        <v>475</v>
      </c>
      <c r="G42" s="156" t="s">
        <v>467</v>
      </c>
    </row>
    <row r="43" spans="2:7" x14ac:dyDescent="0.25">
      <c r="B43" s="158" t="s">
        <v>322</v>
      </c>
      <c r="C43" s="151">
        <v>-81794</v>
      </c>
      <c r="D43" s="151">
        <v>0</v>
      </c>
      <c r="E43" s="151">
        <v>0</v>
      </c>
      <c r="F43" s="156" t="s">
        <v>475</v>
      </c>
      <c r="G43" s="156" t="s">
        <v>467</v>
      </c>
    </row>
    <row r="44" spans="2:7" x14ac:dyDescent="0.25">
      <c r="B44" s="160" t="s">
        <v>323</v>
      </c>
      <c r="C44" s="151">
        <v>1111775</v>
      </c>
      <c r="D44" s="151">
        <v>0</v>
      </c>
      <c r="E44" s="151">
        <v>0</v>
      </c>
      <c r="F44" s="156" t="s">
        <v>475</v>
      </c>
      <c r="G44" s="156" t="s">
        <v>467</v>
      </c>
    </row>
    <row r="45" spans="2:7" x14ac:dyDescent="0.25">
      <c r="B45" s="160" t="s">
        <v>324</v>
      </c>
      <c r="C45" s="151">
        <v>4820.6949999999997</v>
      </c>
      <c r="D45" s="151">
        <v>0</v>
      </c>
      <c r="E45" s="151">
        <v>0</v>
      </c>
      <c r="F45" s="156" t="s">
        <v>475</v>
      </c>
      <c r="G45" s="156" t="s">
        <v>472</v>
      </c>
    </row>
    <row r="46" spans="2:7" x14ac:dyDescent="0.25">
      <c r="B46" s="160" t="s">
        <v>325</v>
      </c>
      <c r="C46" s="151">
        <v>4647.7740000000003</v>
      </c>
      <c r="D46" s="151">
        <v>0</v>
      </c>
      <c r="E46" s="151">
        <v>0</v>
      </c>
      <c r="F46" s="156" t="s">
        <v>475</v>
      </c>
      <c r="G46" s="156" t="s">
        <v>472</v>
      </c>
    </row>
    <row r="47" spans="2:7" x14ac:dyDescent="0.25">
      <c r="B47" s="160" t="s">
        <v>326</v>
      </c>
      <c r="C47" s="151">
        <v>5378.7089999999998</v>
      </c>
      <c r="D47" s="151">
        <v>0</v>
      </c>
      <c r="E47" s="151">
        <v>0</v>
      </c>
      <c r="F47" s="156" t="s">
        <v>475</v>
      </c>
      <c r="G47" s="156" t="s">
        <v>472</v>
      </c>
    </row>
    <row r="48" spans="2:7" x14ac:dyDescent="0.25">
      <c r="B48" s="160" t="s">
        <v>328</v>
      </c>
      <c r="C48" s="151">
        <v>49501</v>
      </c>
      <c r="D48" s="151">
        <v>0</v>
      </c>
      <c r="E48" s="151">
        <v>0</v>
      </c>
      <c r="F48" s="156" t="s">
        <v>475</v>
      </c>
      <c r="G48" s="156" t="s">
        <v>467</v>
      </c>
    </row>
    <row r="49" spans="2:7" x14ac:dyDescent="0.25">
      <c r="B49" s="160" t="s">
        <v>330</v>
      </c>
      <c r="C49" s="151">
        <v>61.43</v>
      </c>
      <c r="D49" s="151">
        <v>0</v>
      </c>
      <c r="E49" s="151">
        <v>0</v>
      </c>
      <c r="F49" s="156" t="s">
        <v>475</v>
      </c>
      <c r="G49" s="156" t="s">
        <v>474</v>
      </c>
    </row>
    <row r="50" spans="2:7" x14ac:dyDescent="0.25">
      <c r="B50" s="160" t="s">
        <v>332</v>
      </c>
      <c r="C50" s="151">
        <v>110067</v>
      </c>
      <c r="D50" s="151">
        <v>0</v>
      </c>
      <c r="E50" s="151">
        <v>0</v>
      </c>
      <c r="F50" s="156" t="s">
        <v>475</v>
      </c>
      <c r="G50" s="156" t="s">
        <v>471</v>
      </c>
    </row>
    <row r="51" spans="2:7" x14ac:dyDescent="0.25">
      <c r="B51" s="160" t="s">
        <v>333</v>
      </c>
      <c r="C51" s="151">
        <v>92.218999999999994</v>
      </c>
      <c r="D51" s="151">
        <v>0</v>
      </c>
      <c r="E51" s="151">
        <v>0</v>
      </c>
      <c r="F51" s="156" t="s">
        <v>475</v>
      </c>
      <c r="G51" s="156" t="s">
        <v>471</v>
      </c>
    </row>
    <row r="52" spans="2:7" x14ac:dyDescent="0.25">
      <c r="B52" s="160" t="s">
        <v>336</v>
      </c>
      <c r="C52" s="151">
        <v>4857.9250000000002</v>
      </c>
      <c r="D52" s="151">
        <v>0</v>
      </c>
      <c r="E52" s="151">
        <v>0</v>
      </c>
      <c r="F52" s="156" t="s">
        <v>475</v>
      </c>
      <c r="G52" s="156" t="s">
        <v>472</v>
      </c>
    </row>
    <row r="53" spans="2:7" x14ac:dyDescent="0.25">
      <c r="B53" s="160" t="s">
        <v>337</v>
      </c>
      <c r="C53" s="151">
        <v>6319.2089999999998</v>
      </c>
      <c r="D53" s="151">
        <v>0</v>
      </c>
      <c r="E53" s="151">
        <v>0</v>
      </c>
      <c r="F53" s="156" t="s">
        <v>475</v>
      </c>
      <c r="G53" s="156" t="s">
        <v>467</v>
      </c>
    </row>
    <row r="54" spans="2:7" x14ac:dyDescent="0.25">
      <c r="B54" s="160" t="s">
        <v>338</v>
      </c>
      <c r="C54" s="151">
        <v>126.348</v>
      </c>
      <c r="D54" s="151">
        <v>0</v>
      </c>
      <c r="E54" s="151">
        <v>0</v>
      </c>
      <c r="F54" s="156" t="s">
        <v>475</v>
      </c>
      <c r="G54" s="156" t="s">
        <v>467</v>
      </c>
    </row>
    <row r="55" spans="2:7" x14ac:dyDescent="0.25">
      <c r="B55" s="160" t="s">
        <v>340</v>
      </c>
      <c r="C55" s="151">
        <v>9505.4670000000006</v>
      </c>
      <c r="D55" s="151">
        <v>0</v>
      </c>
      <c r="E55" s="151">
        <v>0</v>
      </c>
      <c r="F55" s="156" t="s">
        <v>475</v>
      </c>
      <c r="G55" s="156" t="s">
        <v>471</v>
      </c>
    </row>
    <row r="56" spans="2:7" x14ac:dyDescent="0.25">
      <c r="B56" s="160" t="s">
        <v>341</v>
      </c>
      <c r="C56" s="151">
        <v>2070958</v>
      </c>
      <c r="D56" s="151">
        <v>2365.2641402111894</v>
      </c>
      <c r="E56" s="151">
        <v>2449181.3466417422</v>
      </c>
      <c r="F56" s="156" t="s">
        <v>475</v>
      </c>
      <c r="G56" s="156" t="s">
        <v>468</v>
      </c>
    </row>
    <row r="57" spans="2:7" ht="30" x14ac:dyDescent="0.25">
      <c r="B57" s="160" t="s">
        <v>373</v>
      </c>
      <c r="C57" s="151">
        <v>1256783</v>
      </c>
      <c r="D57" s="151">
        <v>1004</v>
      </c>
      <c r="E57" s="151">
        <v>630905.06599999999</v>
      </c>
      <c r="F57" s="156" t="s">
        <v>463</v>
      </c>
      <c r="G57" s="156" t="s">
        <v>473</v>
      </c>
    </row>
    <row r="58" spans="2:7" x14ac:dyDescent="0.25">
      <c r="B58" s="160" t="s">
        <v>342</v>
      </c>
      <c r="C58" s="151">
        <v>2344.8380000000002</v>
      </c>
      <c r="D58" s="151">
        <v>0</v>
      </c>
      <c r="E58" s="151">
        <v>0</v>
      </c>
      <c r="F58" s="156" t="s">
        <v>475</v>
      </c>
      <c r="G58" s="156" t="s">
        <v>472</v>
      </c>
    </row>
    <row r="59" spans="2:7" x14ac:dyDescent="0.25">
      <c r="B59" s="160" t="s">
        <v>343</v>
      </c>
      <c r="C59" s="151">
        <v>2323.34</v>
      </c>
      <c r="D59" s="151">
        <v>0</v>
      </c>
      <c r="E59" s="151">
        <v>0</v>
      </c>
      <c r="F59" s="156" t="s">
        <v>475</v>
      </c>
      <c r="G59" s="156" t="s">
        <v>472</v>
      </c>
    </row>
    <row r="60" spans="2:7" x14ac:dyDescent="0.25">
      <c r="B60" s="160" t="s">
        <v>346</v>
      </c>
      <c r="C60" s="151">
        <v>128751.664</v>
      </c>
      <c r="D60" s="151">
        <v>0</v>
      </c>
      <c r="E60" s="151">
        <v>0</v>
      </c>
      <c r="F60" s="156" t="s">
        <v>475</v>
      </c>
      <c r="G60" s="156" t="s">
        <v>467</v>
      </c>
    </row>
    <row r="61" spans="2:7" x14ac:dyDescent="0.25">
      <c r="B61" s="160" t="s">
        <v>347</v>
      </c>
      <c r="C61" s="151">
        <v>36228.803999999996</v>
      </c>
      <c r="D61" s="151">
        <v>0</v>
      </c>
      <c r="E61" s="151">
        <v>0</v>
      </c>
      <c r="F61" s="156" t="s">
        <v>475</v>
      </c>
      <c r="G61" s="156" t="s">
        <v>472</v>
      </c>
    </row>
    <row r="62" spans="2:7" x14ac:dyDescent="0.25">
      <c r="B62" s="160" t="s">
        <v>436</v>
      </c>
      <c r="C62" s="151">
        <v>81.850999999999999</v>
      </c>
      <c r="D62" s="151">
        <v>0</v>
      </c>
      <c r="E62" s="151">
        <v>0</v>
      </c>
      <c r="F62" s="156" t="s">
        <v>475</v>
      </c>
      <c r="G62" s="156" t="s">
        <v>474</v>
      </c>
    </row>
    <row r="63" spans="2:7" x14ac:dyDescent="0.25">
      <c r="B63" s="160" t="s">
        <v>349</v>
      </c>
      <c r="C63" s="151">
        <v>42816.692999999999</v>
      </c>
      <c r="D63" s="151">
        <v>0</v>
      </c>
      <c r="E63" s="151">
        <v>0</v>
      </c>
      <c r="F63" s="156" t="s">
        <v>475</v>
      </c>
      <c r="G63" s="156" t="s">
        <v>467</v>
      </c>
    </row>
    <row r="64" spans="2:7" x14ac:dyDescent="0.25">
      <c r="B64" s="160" t="s">
        <v>350</v>
      </c>
      <c r="C64" s="151">
        <v>309.72000000000003</v>
      </c>
      <c r="D64" s="151">
        <v>0</v>
      </c>
      <c r="E64" s="151">
        <v>0</v>
      </c>
      <c r="F64" s="156" t="s">
        <v>475</v>
      </c>
      <c r="G64" s="156" t="s">
        <v>472</v>
      </c>
    </row>
    <row r="65" spans="2:7" x14ac:dyDescent="0.25">
      <c r="B65" s="160" t="s">
        <v>352</v>
      </c>
      <c r="C65" s="151">
        <v>21012.012999999999</v>
      </c>
      <c r="D65" s="151">
        <v>0</v>
      </c>
      <c r="E65" s="151">
        <v>0</v>
      </c>
      <c r="F65" s="156" t="s">
        <v>475</v>
      </c>
      <c r="G65" s="156" t="s">
        <v>467</v>
      </c>
    </row>
    <row r="66" spans="2:7" x14ac:dyDescent="0.25">
      <c r="B66" s="160" t="s">
        <v>356</v>
      </c>
      <c r="C66" s="151">
        <v>985.77700000000004</v>
      </c>
      <c r="D66" s="151">
        <v>0</v>
      </c>
      <c r="E66" s="151">
        <v>0</v>
      </c>
      <c r="F66" s="156" t="s">
        <v>475</v>
      </c>
      <c r="G66" s="156" t="s">
        <v>467</v>
      </c>
    </row>
    <row r="67" spans="2:7" x14ac:dyDescent="0.25">
      <c r="B67" s="160" t="s">
        <v>357</v>
      </c>
      <c r="C67" s="151">
        <v>77848.698999999993</v>
      </c>
      <c r="D67" s="151">
        <v>0</v>
      </c>
      <c r="E67" s="151">
        <v>0</v>
      </c>
      <c r="F67" s="156" t="s">
        <v>475</v>
      </c>
      <c r="G67" s="156" t="s">
        <v>467</v>
      </c>
    </row>
    <row r="68" spans="2:7" x14ac:dyDescent="0.25">
      <c r="B68" s="160" t="s">
        <v>358</v>
      </c>
      <c r="C68" s="151">
        <v>13647.43</v>
      </c>
      <c r="D68" s="151">
        <v>0</v>
      </c>
      <c r="E68" s="151">
        <v>0</v>
      </c>
      <c r="F68" s="156" t="s">
        <v>475</v>
      </c>
      <c r="G68" s="156" t="s">
        <v>467</v>
      </c>
    </row>
    <row r="69" spans="2:7" ht="6.75" customHeight="1" x14ac:dyDescent="0.25">
      <c r="B69" s="161"/>
      <c r="C69" s="153"/>
      <c r="D69" s="153"/>
      <c r="E69" s="153"/>
      <c r="F69" s="154"/>
    </row>
    <row r="70" spans="2:7" x14ac:dyDescent="0.25">
      <c r="B70" s="203" t="s">
        <v>458</v>
      </c>
      <c r="C70" s="204">
        <f>SUM(C5:C68)</f>
        <v>18364274.908000004</v>
      </c>
      <c r="D70" s="204"/>
      <c r="E70" s="204">
        <f>SUM(E5:E68)</f>
        <v>10029376.275007376</v>
      </c>
      <c r="F70" s="209"/>
      <c r="G70" s="210"/>
    </row>
    <row r="71" spans="2:7" x14ac:dyDescent="0.25">
      <c r="B71" s="205" t="s">
        <v>488</v>
      </c>
      <c r="C71" s="201">
        <f>SUM(C33:C68)</f>
        <v>7436664.868999999</v>
      </c>
      <c r="D71" s="201"/>
      <c r="E71" s="201">
        <f>SUM(E33:E68)</f>
        <v>3215517.8491177424</v>
      </c>
      <c r="F71" s="154"/>
      <c r="G71" s="211"/>
    </row>
    <row r="72" spans="2:7" x14ac:dyDescent="0.25">
      <c r="B72" s="205" t="s">
        <v>486</v>
      </c>
      <c r="C72" s="201">
        <f>SUMIF(D33:D68,0,C33:C68)</f>
        <v>3839140.1309999996</v>
      </c>
      <c r="D72" s="201"/>
      <c r="E72" s="201"/>
      <c r="F72" s="154"/>
      <c r="G72" s="211"/>
    </row>
    <row r="73" spans="2:7" x14ac:dyDescent="0.25">
      <c r="B73" s="206" t="s">
        <v>487</v>
      </c>
      <c r="C73" s="207">
        <f>C72/C71</f>
        <v>0.51624487571082989</v>
      </c>
      <c r="D73" s="208"/>
      <c r="E73" s="208"/>
      <c r="F73" s="212"/>
      <c r="G73" s="213"/>
    </row>
    <row r="74" spans="2:7" x14ac:dyDescent="0.25">
      <c r="B74" s="202"/>
      <c r="C74" s="154"/>
      <c r="D74" s="154"/>
      <c r="E74" s="154"/>
      <c r="F74" s="154"/>
      <c r="G74" s="154"/>
    </row>
    <row r="75" spans="2:7" x14ac:dyDescent="0.25">
      <c r="B75" s="162" t="s">
        <v>490</v>
      </c>
      <c r="C75" s="178">
        <f>C41+C42+C43+C44+C48</f>
        <v>3355134</v>
      </c>
      <c r="D75" s="241">
        <f>C75/('2017 Summary'!D18+'2017 Summary'!D19)</f>
        <v>0.16054349808224305</v>
      </c>
    </row>
    <row r="76" spans="2:7" x14ac:dyDescent="0.25">
      <c r="C76" s="178"/>
      <c r="D76" s="178"/>
    </row>
  </sheetData>
  <mergeCells count="7">
    <mergeCell ref="B4:G4"/>
    <mergeCell ref="B32:G32"/>
    <mergeCell ref="C2:C3"/>
    <mergeCell ref="D2:D3"/>
    <mergeCell ref="F2:F3"/>
    <mergeCell ref="G2:G3"/>
    <mergeCell ref="B2:B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2008</v>
      </c>
      <c r="D4" s="72" t="s">
        <v>40</v>
      </c>
      <c r="E4" s="68"/>
    </row>
    <row r="5" spans="1:7" thickBot="1" x14ac:dyDescent="0.35">
      <c r="A5" s="238" t="s">
        <v>21</v>
      </c>
      <c r="B5" s="239"/>
      <c r="C5" s="78">
        <f>+F10*'Census Stats'!$L$38</f>
        <v>2340765.6259595291</v>
      </c>
      <c r="D5" s="66">
        <f>+D13/C5</f>
        <v>9.3308239653625318</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11082670</v>
      </c>
      <c r="E10" s="19">
        <f>+D10/D13</f>
        <v>0.50741870711559289</v>
      </c>
      <c r="F10" s="42">
        <v>939440</v>
      </c>
      <c r="G10" s="58">
        <f>+D10/F10</f>
        <v>11.797102529166311</v>
      </c>
    </row>
    <row r="11" spans="1:7" ht="14.45" x14ac:dyDescent="0.3">
      <c r="A11" s="235" t="s">
        <v>17</v>
      </c>
      <c r="B11" s="236"/>
      <c r="C11" s="237"/>
      <c r="D11" s="70">
        <v>9453940</v>
      </c>
      <c r="E11" s="19">
        <f>+D11/D13</f>
        <v>0.43284750082321211</v>
      </c>
      <c r="F11" s="34">
        <f>3222+117521</f>
        <v>120743</v>
      </c>
      <c r="G11" s="58">
        <f>+D11/F11</f>
        <v>78.298037981497899</v>
      </c>
    </row>
    <row r="12" spans="1:7" ht="14.45" x14ac:dyDescent="0.3">
      <c r="A12" s="235" t="s">
        <v>18</v>
      </c>
      <c r="B12" s="236"/>
      <c r="C12" s="237"/>
      <c r="D12" s="70">
        <v>1304662</v>
      </c>
      <c r="E12" s="19">
        <f>+D12/D13</f>
        <v>5.9733792061194974E-2</v>
      </c>
      <c r="F12" s="6"/>
      <c r="G12" s="47"/>
    </row>
    <row r="13" spans="1:7" thickBot="1" x14ac:dyDescent="0.35">
      <c r="A13" s="48"/>
      <c r="B13" s="240" t="s">
        <v>13</v>
      </c>
      <c r="C13" s="239"/>
      <c r="D13" s="71">
        <f>SUM(D10:D12)</f>
        <v>21841272</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'2008 Known'!B48</f>
        <v>18130450.128000006</v>
      </c>
      <c r="E18" s="19">
        <f>+D18/(D18+D19)</f>
        <v>0.76915613655045179</v>
      </c>
      <c r="F18" s="10">
        <f>'2008 Known'!D48</f>
        <v>8179189.6239958201</v>
      </c>
      <c r="G18" s="47"/>
    </row>
    <row r="19" spans="1:8" ht="18" x14ac:dyDescent="0.35">
      <c r="A19" s="235" t="s">
        <v>34</v>
      </c>
      <c r="B19" s="236"/>
      <c r="C19" s="237"/>
      <c r="D19" s="59">
        <f>'2008 Unknown'!B163</f>
        <v>5441422.0399999991</v>
      </c>
      <c r="E19" s="60">
        <f>+D19/(D18+D19)</f>
        <v>0.23084386344954821</v>
      </c>
      <c r="F19" s="74">
        <f>'2008 Unknown'!D163</f>
        <v>2787286.6950858752</v>
      </c>
      <c r="G19" s="76" t="s">
        <v>39</v>
      </c>
    </row>
    <row r="20" spans="1:8" ht="18.75" thickBot="1" x14ac:dyDescent="0.4">
      <c r="A20" s="48"/>
      <c r="B20" s="50"/>
      <c r="C20" s="50"/>
      <c r="D20" s="73">
        <f>+C4</f>
        <v>2008</v>
      </c>
      <c r="E20" s="55" t="s">
        <v>4</v>
      </c>
      <c r="F20" s="75">
        <f>SUM(F18:F19)</f>
        <v>10966476.319081696</v>
      </c>
      <c r="G20" s="77">
        <f>+F20/G22</f>
        <v>1.5788043875037281</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D31" sqref="D31"/>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2008</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96154.205000000002</v>
      </c>
      <c r="C4" s="34">
        <v>0</v>
      </c>
      <c r="D4" s="10">
        <v>0</v>
      </c>
    </row>
    <row r="5" spans="1:5" x14ac:dyDescent="0.25">
      <c r="A5" s="33" t="s">
        <v>294</v>
      </c>
      <c r="B5" s="34">
        <v>321027.40000000002</v>
      </c>
      <c r="C5" s="34">
        <v>0</v>
      </c>
      <c r="D5" s="10">
        <v>0</v>
      </c>
    </row>
    <row r="6" spans="1:5" x14ac:dyDescent="0.25">
      <c r="A6" s="33" t="s">
        <v>295</v>
      </c>
      <c r="B6" s="34">
        <v>59492</v>
      </c>
      <c r="C6" s="34">
        <v>0</v>
      </c>
      <c r="D6" s="10">
        <v>0</v>
      </c>
    </row>
    <row r="7" spans="1:5" x14ac:dyDescent="0.25">
      <c r="A7" s="33" t="s">
        <v>296</v>
      </c>
      <c r="B7" s="34">
        <v>181143.4</v>
      </c>
      <c r="C7" s="34">
        <v>0</v>
      </c>
      <c r="D7" s="10">
        <v>0</v>
      </c>
    </row>
    <row r="8" spans="1:5" x14ac:dyDescent="0.25">
      <c r="A8" s="33" t="s">
        <v>297</v>
      </c>
      <c r="B8" s="34">
        <v>317108.09000000003</v>
      </c>
      <c r="C8" s="34">
        <v>0</v>
      </c>
      <c r="D8" s="10">
        <v>0</v>
      </c>
    </row>
    <row r="9" spans="1:5" x14ac:dyDescent="0.25">
      <c r="A9" s="33" t="s">
        <v>312</v>
      </c>
      <c r="B9" s="34">
        <v>2124142</v>
      </c>
      <c r="C9" s="34">
        <v>2267.4590707636312</v>
      </c>
      <c r="D9" s="10">
        <v>2408202.5227450002</v>
      </c>
    </row>
    <row r="10" spans="1:5" x14ac:dyDescent="0.25">
      <c r="A10" s="33" t="s">
        <v>313</v>
      </c>
      <c r="B10" s="34">
        <v>2943303</v>
      </c>
      <c r="C10" s="34">
        <v>2142.8522308464335</v>
      </c>
      <c r="D10" s="10">
        <v>3153531.6998035</v>
      </c>
    </row>
    <row r="11" spans="1:5" x14ac:dyDescent="0.25">
      <c r="A11" s="33" t="s">
        <v>299</v>
      </c>
      <c r="B11" s="34">
        <v>98884</v>
      </c>
      <c r="C11" s="34">
        <v>906.74784925910285</v>
      </c>
      <c r="D11" s="10">
        <v>44831.427163068562</v>
      </c>
    </row>
    <row r="12" spans="1:5" x14ac:dyDescent="0.25">
      <c r="A12" s="33" t="s">
        <v>305</v>
      </c>
      <c r="B12" s="34">
        <v>1368284</v>
      </c>
      <c r="C12" s="34">
        <v>686.37780729974656</v>
      </c>
      <c r="D12" s="10">
        <v>469579.88584166323</v>
      </c>
    </row>
    <row r="13" spans="1:5" x14ac:dyDescent="0.25">
      <c r="A13" s="33" t="s">
        <v>309</v>
      </c>
      <c r="B13" s="34">
        <v>218930.30000000002</v>
      </c>
      <c r="C13" s="34">
        <v>797.76810168096608</v>
      </c>
      <c r="D13" s="10">
        <v>87327.804915722212</v>
      </c>
    </row>
    <row r="14" spans="1:5" x14ac:dyDescent="0.25">
      <c r="A14" s="33" t="s">
        <v>298</v>
      </c>
      <c r="B14" s="34">
        <v>360.91</v>
      </c>
      <c r="C14" s="34">
        <v>1689.2057570020049</v>
      </c>
      <c r="D14" s="10">
        <v>304.82562487979681</v>
      </c>
    </row>
    <row r="15" spans="1:5" x14ac:dyDescent="0.25">
      <c r="A15" s="33" t="s">
        <v>301</v>
      </c>
      <c r="B15" s="34">
        <v>545866.18700000003</v>
      </c>
      <c r="C15" s="34">
        <v>350.34815600198544</v>
      </c>
      <c r="D15" s="10">
        <v>95621.606019642481</v>
      </c>
    </row>
    <row r="16" spans="1:5" x14ac:dyDescent="0.25">
      <c r="A16" s="33" t="s">
        <v>302</v>
      </c>
      <c r="B16" s="34">
        <v>7453.4</v>
      </c>
      <c r="C16" s="34">
        <v>1941.0520125311277</v>
      </c>
      <c r="D16" s="10">
        <v>7233.7185350997534</v>
      </c>
    </row>
    <row r="17" spans="1:4" x14ac:dyDescent="0.25">
      <c r="A17" s="33" t="s">
        <v>303</v>
      </c>
      <c r="B17" s="34">
        <v>9931.2999999999993</v>
      </c>
      <c r="C17" s="34">
        <v>1159.0524695461825</v>
      </c>
      <c r="D17" s="10">
        <v>5755.4488954019998</v>
      </c>
    </row>
    <row r="18" spans="1:4" x14ac:dyDescent="0.25">
      <c r="A18" s="33" t="s">
        <v>304</v>
      </c>
      <c r="B18" s="34">
        <v>15741.2</v>
      </c>
      <c r="C18" s="34">
        <v>2256.0428671996333</v>
      </c>
      <c r="D18" s="10">
        <v>17756.410990581433</v>
      </c>
    </row>
    <row r="19" spans="1:4" x14ac:dyDescent="0.25">
      <c r="A19" s="33" t="s">
        <v>306</v>
      </c>
      <c r="B19" s="34">
        <v>425322.08</v>
      </c>
      <c r="C19" s="34">
        <v>0</v>
      </c>
      <c r="D19" s="10">
        <v>0</v>
      </c>
    </row>
    <row r="20" spans="1:4" x14ac:dyDescent="0.25">
      <c r="A20" s="33" t="s">
        <v>310</v>
      </c>
      <c r="B20" s="34">
        <v>4135</v>
      </c>
      <c r="C20" s="34">
        <v>1771.6363840734703</v>
      </c>
      <c r="D20" s="10">
        <v>3662.8582240718997</v>
      </c>
    </row>
    <row r="21" spans="1:4" x14ac:dyDescent="0.25">
      <c r="A21" s="33" t="s">
        <v>311</v>
      </c>
      <c r="B21" s="34">
        <v>682096.78399999999</v>
      </c>
      <c r="C21" s="34">
        <v>0</v>
      </c>
      <c r="D21" s="10">
        <v>0</v>
      </c>
    </row>
    <row r="22" spans="1:4" x14ac:dyDescent="0.25">
      <c r="A22" s="33" t="s">
        <v>315</v>
      </c>
      <c r="B22" s="34">
        <v>22695.39</v>
      </c>
      <c r="C22" s="34">
        <v>845.2820744685913</v>
      </c>
      <c r="D22" s="10">
        <v>9592.0031700368618</v>
      </c>
    </row>
    <row r="23" spans="1:4" x14ac:dyDescent="0.25">
      <c r="A23" s="33" t="s">
        <v>175</v>
      </c>
      <c r="B23" s="34">
        <v>7063</v>
      </c>
      <c r="C23" s="34">
        <v>0</v>
      </c>
      <c r="D23" s="10">
        <v>0</v>
      </c>
    </row>
    <row r="24" spans="1:4" x14ac:dyDescent="0.25">
      <c r="A24" s="33" t="s">
        <v>318</v>
      </c>
      <c r="B24" s="34">
        <v>374999</v>
      </c>
      <c r="C24" s="34">
        <v>845.2820744685913</v>
      </c>
      <c r="D24" s="10">
        <v>158489.96632182362</v>
      </c>
    </row>
    <row r="25" spans="1:4" x14ac:dyDescent="0.25">
      <c r="A25" s="33" t="s">
        <v>321</v>
      </c>
      <c r="B25" s="34">
        <v>1327464</v>
      </c>
      <c r="C25" s="34">
        <v>0</v>
      </c>
      <c r="D25" s="10">
        <v>0</v>
      </c>
    </row>
    <row r="26" spans="1:4" x14ac:dyDescent="0.25">
      <c r="A26" s="33" t="s">
        <v>322</v>
      </c>
      <c r="B26" s="34">
        <v>2144307</v>
      </c>
      <c r="C26" s="34">
        <v>0</v>
      </c>
      <c r="D26" s="10">
        <v>0</v>
      </c>
    </row>
    <row r="27" spans="1:4" x14ac:dyDescent="0.25">
      <c r="A27" s="33" t="s">
        <v>323</v>
      </c>
      <c r="B27" s="34">
        <v>1045492</v>
      </c>
      <c r="C27" s="34">
        <v>0</v>
      </c>
      <c r="D27" s="10">
        <v>0</v>
      </c>
    </row>
    <row r="28" spans="1:4" x14ac:dyDescent="0.25">
      <c r="A28" s="33" t="s">
        <v>327</v>
      </c>
      <c r="B28" s="34">
        <v>464474</v>
      </c>
      <c r="C28" s="34">
        <v>0</v>
      </c>
      <c r="D28" s="10">
        <v>0</v>
      </c>
    </row>
    <row r="29" spans="1:4" x14ac:dyDescent="0.25">
      <c r="A29" s="33" t="s">
        <v>329</v>
      </c>
      <c r="B29" s="34">
        <v>456458</v>
      </c>
      <c r="C29" s="34">
        <v>0</v>
      </c>
      <c r="D29" s="10">
        <v>0</v>
      </c>
    </row>
    <row r="30" spans="1:4" x14ac:dyDescent="0.25">
      <c r="A30" s="33" t="s">
        <v>332</v>
      </c>
      <c r="B30" s="34">
        <v>148311</v>
      </c>
      <c r="C30" s="34">
        <v>0</v>
      </c>
      <c r="D30" s="10">
        <v>0</v>
      </c>
    </row>
    <row r="31" spans="1:4" x14ac:dyDescent="0.25">
      <c r="A31" s="33" t="s">
        <v>334</v>
      </c>
      <c r="B31" s="34">
        <v>795395</v>
      </c>
      <c r="C31" s="34">
        <v>2016.3308936624701</v>
      </c>
      <c r="D31" s="10">
        <f>C31*B31/2000</f>
        <v>801889.75558233028</v>
      </c>
    </row>
    <row r="32" spans="1:4" x14ac:dyDescent="0.25">
      <c r="A32" s="33" t="s">
        <v>339</v>
      </c>
      <c r="B32" s="34">
        <v>89984</v>
      </c>
      <c r="C32" s="34">
        <v>845.2820744685913</v>
      </c>
      <c r="D32" s="10">
        <v>38030.931094490865</v>
      </c>
    </row>
    <row r="33" spans="1:4" x14ac:dyDescent="0.25">
      <c r="A33" s="33" t="s">
        <v>343</v>
      </c>
      <c r="B33" s="34">
        <v>2232</v>
      </c>
      <c r="C33" s="34">
        <v>0</v>
      </c>
      <c r="D33" s="10">
        <v>0</v>
      </c>
    </row>
    <row r="34" spans="1:4" x14ac:dyDescent="0.25">
      <c r="A34" s="33" t="s">
        <v>344</v>
      </c>
      <c r="B34" s="34">
        <v>41552</v>
      </c>
      <c r="C34" s="34">
        <v>0</v>
      </c>
      <c r="D34" s="10">
        <v>0</v>
      </c>
    </row>
    <row r="35" spans="1:4" x14ac:dyDescent="0.25">
      <c r="A35" s="33" t="s">
        <v>348</v>
      </c>
      <c r="B35" s="34">
        <v>2058.2399999999998</v>
      </c>
      <c r="C35" s="34">
        <v>0</v>
      </c>
      <c r="D35" s="10">
        <v>0</v>
      </c>
    </row>
    <row r="36" spans="1:4" x14ac:dyDescent="0.25">
      <c r="A36" s="35" t="s">
        <v>349</v>
      </c>
      <c r="B36" s="34">
        <v>36091.56</v>
      </c>
      <c r="C36" s="34">
        <v>0</v>
      </c>
      <c r="D36" s="10">
        <v>0</v>
      </c>
    </row>
    <row r="37" spans="1:4" x14ac:dyDescent="0.25">
      <c r="A37" s="35" t="s">
        <v>351</v>
      </c>
      <c r="B37" s="34">
        <v>1022961.27</v>
      </c>
      <c r="C37" s="34">
        <v>712.18637801833165</v>
      </c>
      <c r="D37" s="10">
        <v>364269.54086716636</v>
      </c>
    </row>
    <row r="38" spans="1:4" x14ac:dyDescent="0.25">
      <c r="A38" s="35" t="s">
        <v>352</v>
      </c>
      <c r="B38" s="34">
        <v>19741.439999999999</v>
      </c>
      <c r="C38" s="34">
        <v>0</v>
      </c>
      <c r="D38" s="10">
        <v>0</v>
      </c>
    </row>
    <row r="39" spans="1:4" x14ac:dyDescent="0.25">
      <c r="A39" s="35" t="s">
        <v>353</v>
      </c>
      <c r="B39" s="34">
        <v>2366.1799999999998</v>
      </c>
      <c r="C39" s="34">
        <v>2523.9512462867506</v>
      </c>
      <c r="D39" s="10">
        <v>2986.0614799693917</v>
      </c>
    </row>
    <row r="40" spans="1:4" x14ac:dyDescent="0.25">
      <c r="A40" s="35" t="s">
        <v>354</v>
      </c>
      <c r="B40" s="34">
        <v>1746.732</v>
      </c>
      <c r="C40" s="34">
        <v>0</v>
      </c>
      <c r="D40" s="10">
        <v>0</v>
      </c>
    </row>
    <row r="41" spans="1:4" x14ac:dyDescent="0.25">
      <c r="A41" s="35" t="s">
        <v>355</v>
      </c>
      <c r="B41" s="34">
        <v>128135</v>
      </c>
      <c r="C41" s="34">
        <v>4609.4725050143998</v>
      </c>
      <c r="D41" s="10">
        <v>295317.37971501006</v>
      </c>
    </row>
    <row r="42" spans="1:4" x14ac:dyDescent="0.25">
      <c r="A42" s="35" t="s">
        <v>356</v>
      </c>
      <c r="B42" s="34">
        <v>651.84</v>
      </c>
      <c r="C42" s="34">
        <v>0</v>
      </c>
      <c r="D42" s="10">
        <v>0</v>
      </c>
    </row>
    <row r="43" spans="1:4" x14ac:dyDescent="0.25">
      <c r="A43" s="35" t="s">
        <v>277</v>
      </c>
      <c r="B43" s="34">
        <v>491579.42</v>
      </c>
      <c r="C43" s="34">
        <v>873.94129317441275</v>
      </c>
      <c r="D43" s="10">
        <v>214805.77700636387</v>
      </c>
    </row>
    <row r="44" spans="1:4" x14ac:dyDescent="0.25">
      <c r="A44" s="35" t="s">
        <v>357</v>
      </c>
      <c r="B44" s="34">
        <v>73323</v>
      </c>
      <c r="C44" s="34">
        <v>0</v>
      </c>
      <c r="D44" s="10">
        <v>0</v>
      </c>
    </row>
    <row r="45" spans="1:4" x14ac:dyDescent="0.25">
      <c r="A45" s="35" t="s">
        <v>358</v>
      </c>
      <c r="B45" s="34">
        <v>11993.8</v>
      </c>
      <c r="C45" s="34">
        <v>0</v>
      </c>
      <c r="D45" s="10">
        <v>0</v>
      </c>
    </row>
    <row r="46" spans="1:4" x14ac:dyDescent="0.25">
      <c r="A46" s="35"/>
      <c r="B46" s="34"/>
      <c r="C46" s="34"/>
      <c r="D46" s="10"/>
    </row>
    <row r="47" spans="1:4" ht="15.75" thickBot="1" x14ac:dyDescent="0.3">
      <c r="A47" s="36"/>
      <c r="B47" s="37"/>
      <c r="C47" s="37"/>
      <c r="D47" s="16"/>
    </row>
    <row r="48" spans="1:4" ht="16.5" thickTop="1" thickBot="1" x14ac:dyDescent="0.3">
      <c r="A48" s="1"/>
      <c r="B48" s="17">
        <f>SUM(B4:B47)</f>
        <v>18130450.128000006</v>
      </c>
      <c r="D48" s="17">
        <f>SUM(D4:D47)</f>
        <v>8179189.6239958201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G6" sqref="G6"/>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2008</v>
      </c>
      <c r="D1" s="8" t="s">
        <v>2</v>
      </c>
      <c r="H1" s="130">
        <v>1024.4699545804308</v>
      </c>
      <c r="I1" t="s">
        <v>6</v>
      </c>
    </row>
    <row r="2" spans="1:9" ht="18.75" x14ac:dyDescent="0.3">
      <c r="A2" s="3"/>
      <c r="B2" s="11" t="s">
        <v>31</v>
      </c>
      <c r="C2" s="11" t="s">
        <v>1</v>
      </c>
      <c r="D2" s="11" t="s">
        <v>5</v>
      </c>
      <c r="E2" s="4"/>
      <c r="F2" s="40" t="s">
        <v>9</v>
      </c>
      <c r="G2" s="38">
        <v>2008</v>
      </c>
      <c r="H2" s="41"/>
    </row>
    <row r="3" spans="1:9" ht="19.5" x14ac:dyDescent="0.35">
      <c r="A3" s="5" t="s">
        <v>0</v>
      </c>
      <c r="B3" s="12"/>
      <c r="C3" s="12" t="s">
        <v>7</v>
      </c>
      <c r="D3" s="12" t="s">
        <v>8</v>
      </c>
      <c r="E3" s="7"/>
    </row>
    <row r="4" spans="1:9" x14ac:dyDescent="0.25">
      <c r="A4" s="33" t="s">
        <v>194</v>
      </c>
      <c r="B4" s="34">
        <v>228885.04</v>
      </c>
      <c r="C4" s="98">
        <f>IF(B4&lt;&gt;0,$H$1,"")</f>
        <v>1024.4699545804308</v>
      </c>
      <c r="D4" s="10">
        <f>(+B4*C4)/2000</f>
        <v>117242.92326647004</v>
      </c>
    </row>
    <row r="5" spans="1:9" x14ac:dyDescent="0.25">
      <c r="A5" s="33" t="s">
        <v>195</v>
      </c>
      <c r="B5" s="34">
        <v>54188</v>
      </c>
      <c r="C5" s="98">
        <f t="shared" ref="C5:C68" si="0">IF(B5&lt;&gt;0,$H$1,"")</f>
        <v>1024.4699545804308</v>
      </c>
      <c r="D5" s="10">
        <f t="shared" ref="D5:D68" si="1">(+B5*C5)/2000</f>
        <v>27756.988949402192</v>
      </c>
    </row>
    <row r="6" spans="1:9" x14ac:dyDescent="0.25">
      <c r="A6" s="33" t="s">
        <v>196</v>
      </c>
      <c r="B6" s="34">
        <v>82433</v>
      </c>
      <c r="C6" s="98">
        <f t="shared" si="0"/>
        <v>1024.4699545804308</v>
      </c>
      <c r="D6" s="10">
        <f t="shared" si="1"/>
        <v>42225.065882964329</v>
      </c>
    </row>
    <row r="7" spans="1:9" x14ac:dyDescent="0.25">
      <c r="A7" s="33" t="s">
        <v>197</v>
      </c>
      <c r="B7" s="34">
        <v>5473</v>
      </c>
      <c r="C7" s="98">
        <f t="shared" si="0"/>
        <v>1024.4699545804308</v>
      </c>
      <c r="D7" s="10">
        <f t="shared" si="1"/>
        <v>2803.4620307093492</v>
      </c>
    </row>
    <row r="8" spans="1:9" x14ac:dyDescent="0.25">
      <c r="A8" s="33" t="s">
        <v>198</v>
      </c>
      <c r="B8" s="34">
        <v>4193</v>
      </c>
      <c r="C8" s="98">
        <f t="shared" si="0"/>
        <v>1024.4699545804308</v>
      </c>
      <c r="D8" s="10">
        <f t="shared" si="1"/>
        <v>2147.8012597778734</v>
      </c>
    </row>
    <row r="9" spans="1:9" x14ac:dyDescent="0.25">
      <c r="A9" s="33" t="s">
        <v>200</v>
      </c>
      <c r="B9" s="34">
        <v>-1458513</v>
      </c>
      <c r="C9" s="98">
        <f t="shared" si="0"/>
        <v>1024.4699545804308</v>
      </c>
      <c r="D9" s="10">
        <f t="shared" si="1"/>
        <v>-747101.37343248387</v>
      </c>
    </row>
    <row r="10" spans="1:9" x14ac:dyDescent="0.25">
      <c r="A10" s="33" t="s">
        <v>201</v>
      </c>
      <c r="B10" s="34">
        <v>8471</v>
      </c>
      <c r="C10" s="98">
        <f t="shared" si="0"/>
        <v>1024.4699545804308</v>
      </c>
      <c r="D10" s="10">
        <f t="shared" si="1"/>
        <v>4339.142492625414</v>
      </c>
    </row>
    <row r="11" spans="1:9" x14ac:dyDescent="0.25">
      <c r="A11" s="33" t="s">
        <v>175</v>
      </c>
      <c r="B11" s="34">
        <v>287771</v>
      </c>
      <c r="C11" s="98">
        <f t="shared" si="0"/>
        <v>1024.4699545804308</v>
      </c>
      <c r="D11" s="10">
        <f t="shared" si="1"/>
        <v>147406.37164978258</v>
      </c>
    </row>
    <row r="12" spans="1:9" x14ac:dyDescent="0.25">
      <c r="A12" s="33" t="s">
        <v>204</v>
      </c>
      <c r="B12" s="34">
        <v>1205</v>
      </c>
      <c r="C12" s="98">
        <f t="shared" si="0"/>
        <v>1024.4699545804308</v>
      </c>
      <c r="D12" s="10">
        <f t="shared" si="1"/>
        <v>617.24314763470966</v>
      </c>
    </row>
    <row r="13" spans="1:9" x14ac:dyDescent="0.25">
      <c r="A13" s="33" t="s">
        <v>176</v>
      </c>
      <c r="B13" s="34">
        <v>156466</v>
      </c>
      <c r="C13" s="98">
        <f t="shared" si="0"/>
        <v>1024.4699545804308</v>
      </c>
      <c r="D13" s="10">
        <f t="shared" si="1"/>
        <v>80147.357956690845</v>
      </c>
    </row>
    <row r="14" spans="1:9" x14ac:dyDescent="0.25">
      <c r="A14" s="33" t="s">
        <v>208</v>
      </c>
      <c r="B14" s="34">
        <v>60076</v>
      </c>
      <c r="C14" s="98">
        <f t="shared" si="0"/>
        <v>1024.4699545804308</v>
      </c>
      <c r="D14" s="10">
        <f t="shared" si="1"/>
        <v>30773.02849568698</v>
      </c>
    </row>
    <row r="15" spans="1:9" x14ac:dyDescent="0.25">
      <c r="A15" s="33" t="s">
        <v>189</v>
      </c>
      <c r="B15" s="34">
        <v>176981</v>
      </c>
      <c r="C15" s="98">
        <f t="shared" si="0"/>
        <v>1024.4699545804308</v>
      </c>
      <c r="D15" s="10">
        <f t="shared" si="1"/>
        <v>90655.858515799613</v>
      </c>
    </row>
    <row r="16" spans="1:9" x14ac:dyDescent="0.25">
      <c r="A16" s="33" t="s">
        <v>213</v>
      </c>
      <c r="B16" s="34">
        <v>29829</v>
      </c>
      <c r="C16" s="98">
        <f t="shared" si="0"/>
        <v>1024.4699545804308</v>
      </c>
      <c r="D16" s="10">
        <f t="shared" si="1"/>
        <v>15279.457137589834</v>
      </c>
    </row>
    <row r="17" spans="1:4" x14ac:dyDescent="0.25">
      <c r="A17" s="33" t="s">
        <v>214</v>
      </c>
      <c r="B17" s="34">
        <v>260284</v>
      </c>
      <c r="C17" s="98">
        <f t="shared" si="0"/>
        <v>1024.4699545804308</v>
      </c>
      <c r="D17" s="10">
        <f t="shared" si="1"/>
        <v>133326.56882900643</v>
      </c>
    </row>
    <row r="18" spans="1:4" x14ac:dyDescent="0.25">
      <c r="A18" s="33" t="s">
        <v>177</v>
      </c>
      <c r="B18" s="34">
        <v>447128</v>
      </c>
      <c r="C18" s="98">
        <f t="shared" si="0"/>
        <v>1024.4699545804308</v>
      </c>
      <c r="D18" s="10">
        <f t="shared" si="1"/>
        <v>229034.60092581942</v>
      </c>
    </row>
    <row r="19" spans="1:4" x14ac:dyDescent="0.25">
      <c r="A19" s="33" t="s">
        <v>215</v>
      </c>
      <c r="B19" s="34">
        <v>30330</v>
      </c>
      <c r="C19" s="98">
        <f t="shared" si="0"/>
        <v>1024.4699545804308</v>
      </c>
      <c r="D19" s="10">
        <f t="shared" si="1"/>
        <v>15536.086861212232</v>
      </c>
    </row>
    <row r="20" spans="1:4" x14ac:dyDescent="0.25">
      <c r="A20" s="33" t="s">
        <v>216</v>
      </c>
      <c r="B20" s="34">
        <v>28450</v>
      </c>
      <c r="C20" s="98">
        <f t="shared" si="0"/>
        <v>1024.4699545804308</v>
      </c>
      <c r="D20" s="10">
        <f t="shared" si="1"/>
        <v>14573.085103906627</v>
      </c>
    </row>
    <row r="21" spans="1:4" x14ac:dyDescent="0.25">
      <c r="A21" s="33" t="s">
        <v>217</v>
      </c>
      <c r="B21" s="34">
        <v>43073</v>
      </c>
      <c r="C21" s="98">
        <f t="shared" si="0"/>
        <v>1024.4699545804308</v>
      </c>
      <c r="D21" s="10">
        <f t="shared" si="1"/>
        <v>22063.497176821449</v>
      </c>
    </row>
    <row r="22" spans="1:4" x14ac:dyDescent="0.25">
      <c r="A22" s="33" t="s">
        <v>179</v>
      </c>
      <c r="B22" s="34">
        <v>239272</v>
      </c>
      <c r="C22" s="98">
        <f t="shared" si="0"/>
        <v>1024.4699545804308</v>
      </c>
      <c r="D22" s="10">
        <f t="shared" si="1"/>
        <v>122563.48748618441</v>
      </c>
    </row>
    <row r="23" spans="1:4" x14ac:dyDescent="0.25">
      <c r="A23" s="33" t="s">
        <v>221</v>
      </c>
      <c r="B23" s="34">
        <v>868</v>
      </c>
      <c r="C23" s="98">
        <f t="shared" si="0"/>
        <v>1024.4699545804308</v>
      </c>
      <c r="D23" s="10">
        <f t="shared" si="1"/>
        <v>444.61996028790696</v>
      </c>
    </row>
    <row r="24" spans="1:4" x14ac:dyDescent="0.25">
      <c r="A24" s="33" t="s">
        <v>223</v>
      </c>
      <c r="B24" s="34">
        <v>123300</v>
      </c>
      <c r="C24" s="98">
        <f t="shared" si="0"/>
        <v>1024.4699545804308</v>
      </c>
      <c r="D24" s="10">
        <f t="shared" si="1"/>
        <v>63158.57269988356</v>
      </c>
    </row>
    <row r="25" spans="1:4" x14ac:dyDescent="0.25">
      <c r="A25" s="33" t="s">
        <v>224</v>
      </c>
      <c r="B25" s="34">
        <v>145965</v>
      </c>
      <c r="C25" s="98">
        <f t="shared" si="0"/>
        <v>1024.4699545804308</v>
      </c>
      <c r="D25" s="10">
        <f t="shared" si="1"/>
        <v>74768.378460166292</v>
      </c>
    </row>
    <row r="26" spans="1:4" x14ac:dyDescent="0.25">
      <c r="A26" s="33" t="s">
        <v>225</v>
      </c>
      <c r="B26" s="34">
        <v>4960</v>
      </c>
      <c r="C26" s="98">
        <f t="shared" si="0"/>
        <v>1024.4699545804308</v>
      </c>
      <c r="D26" s="10">
        <f t="shared" si="1"/>
        <v>2540.6854873594684</v>
      </c>
    </row>
    <row r="27" spans="1:4" x14ac:dyDescent="0.25">
      <c r="A27" s="33" t="s">
        <v>226</v>
      </c>
      <c r="B27" s="34">
        <v>40063</v>
      </c>
      <c r="C27" s="98">
        <f t="shared" si="0"/>
        <v>1024.4699545804308</v>
      </c>
      <c r="D27" s="10">
        <f t="shared" si="1"/>
        <v>20521.6698951779</v>
      </c>
    </row>
    <row r="28" spans="1:4" x14ac:dyDescent="0.25">
      <c r="A28" s="33" t="s">
        <v>227</v>
      </c>
      <c r="B28" s="34">
        <v>10385</v>
      </c>
      <c r="C28" s="98">
        <f t="shared" si="0"/>
        <v>1024.4699545804308</v>
      </c>
      <c r="D28" s="10">
        <f t="shared" si="1"/>
        <v>5319.5602391588864</v>
      </c>
    </row>
    <row r="29" spans="1:4" x14ac:dyDescent="0.25">
      <c r="A29" s="33" t="s">
        <v>228</v>
      </c>
      <c r="B29" s="34">
        <v>14297</v>
      </c>
      <c r="C29" s="98">
        <f t="shared" si="0"/>
        <v>1024.4699545804308</v>
      </c>
      <c r="D29" s="10">
        <f t="shared" si="1"/>
        <v>7323.4234703182092</v>
      </c>
    </row>
    <row r="30" spans="1:4" x14ac:dyDescent="0.25">
      <c r="A30" s="33" t="s">
        <v>229</v>
      </c>
      <c r="B30" s="34">
        <v>2000</v>
      </c>
      <c r="C30" s="98">
        <f t="shared" si="0"/>
        <v>1024.4699545804308</v>
      </c>
      <c r="D30" s="10">
        <f t="shared" si="1"/>
        <v>1024.4699545804308</v>
      </c>
    </row>
    <row r="31" spans="1:4" x14ac:dyDescent="0.25">
      <c r="A31" s="33" t="s">
        <v>230</v>
      </c>
      <c r="B31" s="34">
        <v>448401</v>
      </c>
      <c r="C31" s="98">
        <f t="shared" si="0"/>
        <v>1024.4699545804308</v>
      </c>
      <c r="D31" s="10">
        <f t="shared" si="1"/>
        <v>229686.67605190986</v>
      </c>
    </row>
    <row r="32" spans="1:4" x14ac:dyDescent="0.25">
      <c r="A32" s="33" t="s">
        <v>232</v>
      </c>
      <c r="B32" s="34">
        <v>55219</v>
      </c>
      <c r="C32" s="98">
        <f t="shared" si="0"/>
        <v>1024.4699545804308</v>
      </c>
      <c r="D32" s="10">
        <f t="shared" si="1"/>
        <v>28285.103210988404</v>
      </c>
    </row>
    <row r="33" spans="1:4" x14ac:dyDescent="0.25">
      <c r="A33" s="33" t="s">
        <v>233</v>
      </c>
      <c r="B33" s="34">
        <v>2400</v>
      </c>
      <c r="C33" s="98">
        <f t="shared" si="0"/>
        <v>1024.4699545804308</v>
      </c>
      <c r="D33" s="10">
        <f t="shared" si="1"/>
        <v>1229.3639454965171</v>
      </c>
    </row>
    <row r="34" spans="1:4" x14ac:dyDescent="0.25">
      <c r="A34" s="33" t="s">
        <v>235</v>
      </c>
      <c r="B34" s="34">
        <v>36400</v>
      </c>
      <c r="C34" s="98">
        <f t="shared" si="0"/>
        <v>1024.4699545804308</v>
      </c>
      <c r="D34" s="10">
        <f t="shared" si="1"/>
        <v>18645.353173363841</v>
      </c>
    </row>
    <row r="35" spans="1:4" x14ac:dyDescent="0.25">
      <c r="A35" s="33" t="s">
        <v>236</v>
      </c>
      <c r="B35" s="34">
        <v>96579</v>
      </c>
      <c r="C35" s="98">
        <f t="shared" si="0"/>
        <v>1024.4699545804308</v>
      </c>
      <c r="D35" s="10">
        <f t="shared" si="1"/>
        <v>49471.141871711719</v>
      </c>
    </row>
    <row r="36" spans="1:4" x14ac:dyDescent="0.25">
      <c r="A36" s="33" t="s">
        <v>239</v>
      </c>
      <c r="B36" s="34">
        <v>14444</v>
      </c>
      <c r="C36" s="98">
        <f t="shared" si="0"/>
        <v>1024.4699545804308</v>
      </c>
      <c r="D36" s="10">
        <f t="shared" si="1"/>
        <v>7398.7220119798712</v>
      </c>
    </row>
    <row r="37" spans="1:4" x14ac:dyDescent="0.25">
      <c r="A37" s="33" t="s">
        <v>240</v>
      </c>
      <c r="B37" s="34">
        <v>480</v>
      </c>
      <c r="C37" s="98">
        <f t="shared" si="0"/>
        <v>1024.4699545804308</v>
      </c>
      <c r="D37" s="10">
        <f t="shared" si="1"/>
        <v>245.87278909930339</v>
      </c>
    </row>
    <row r="38" spans="1:4" x14ac:dyDescent="0.25">
      <c r="A38" s="33" t="s">
        <v>241</v>
      </c>
      <c r="B38" s="34">
        <v>285</v>
      </c>
      <c r="C38" s="98">
        <f t="shared" si="0"/>
        <v>1024.4699545804308</v>
      </c>
      <c r="D38" s="10">
        <f t="shared" si="1"/>
        <v>145.98696852771138</v>
      </c>
    </row>
    <row r="39" spans="1:4" x14ac:dyDescent="0.25">
      <c r="A39" s="33" t="s">
        <v>244</v>
      </c>
      <c r="B39" s="34">
        <v>430</v>
      </c>
      <c r="C39" s="98">
        <f t="shared" si="0"/>
        <v>1024.4699545804308</v>
      </c>
      <c r="D39" s="10">
        <f t="shared" si="1"/>
        <v>220.26104023479263</v>
      </c>
    </row>
    <row r="40" spans="1:4" x14ac:dyDescent="0.25">
      <c r="A40" s="33" t="s">
        <v>180</v>
      </c>
      <c r="B40" s="34">
        <v>1248783</v>
      </c>
      <c r="C40" s="98">
        <f t="shared" si="0"/>
        <v>1024.4699545804308</v>
      </c>
      <c r="D40" s="10">
        <f t="shared" si="1"/>
        <v>639670.33164540713</v>
      </c>
    </row>
    <row r="41" spans="1:4" x14ac:dyDescent="0.25">
      <c r="A41" s="33" t="s">
        <v>245</v>
      </c>
      <c r="B41" s="34">
        <v>439</v>
      </c>
      <c r="C41" s="98">
        <f t="shared" si="0"/>
        <v>1024.4699545804308</v>
      </c>
      <c r="D41" s="10">
        <f t="shared" si="1"/>
        <v>224.87115503040457</v>
      </c>
    </row>
    <row r="42" spans="1:4" x14ac:dyDescent="0.25">
      <c r="A42" s="33" t="s">
        <v>251</v>
      </c>
      <c r="B42" s="34">
        <v>8475</v>
      </c>
      <c r="C42" s="98">
        <f t="shared" si="0"/>
        <v>1024.4699545804308</v>
      </c>
      <c r="D42" s="10">
        <f t="shared" si="1"/>
        <v>4341.1914325345751</v>
      </c>
    </row>
    <row r="43" spans="1:4" x14ac:dyDescent="0.25">
      <c r="A43" s="33" t="s">
        <v>252</v>
      </c>
      <c r="B43" s="34">
        <v>27923</v>
      </c>
      <c r="C43" s="98">
        <f t="shared" si="0"/>
        <v>1024.4699545804308</v>
      </c>
      <c r="D43" s="10">
        <f t="shared" si="1"/>
        <v>14303.137270874684</v>
      </c>
    </row>
    <row r="44" spans="1:4" x14ac:dyDescent="0.25">
      <c r="A44" s="33" t="s">
        <v>253</v>
      </c>
      <c r="B44" s="34">
        <v>200</v>
      </c>
      <c r="C44" s="98">
        <f t="shared" si="0"/>
        <v>1024.4699545804308</v>
      </c>
      <c r="D44" s="10">
        <f t="shared" si="1"/>
        <v>102.44699545804308</v>
      </c>
    </row>
    <row r="45" spans="1:4" x14ac:dyDescent="0.25">
      <c r="A45" s="33" t="s">
        <v>254</v>
      </c>
      <c r="B45" s="34">
        <v>3660</v>
      </c>
      <c r="C45" s="98">
        <f t="shared" si="0"/>
        <v>1024.4699545804308</v>
      </c>
      <c r="D45" s="10">
        <f t="shared" si="1"/>
        <v>1874.7800168821884</v>
      </c>
    </row>
    <row r="46" spans="1:4" x14ac:dyDescent="0.25">
      <c r="A46" s="33" t="s">
        <v>255</v>
      </c>
      <c r="B46" s="34">
        <v>156918</v>
      </c>
      <c r="C46" s="98">
        <f t="shared" si="0"/>
        <v>1024.4699545804308</v>
      </c>
      <c r="D46" s="10">
        <f t="shared" si="1"/>
        <v>80378.888166426012</v>
      </c>
    </row>
    <row r="47" spans="1:4" x14ac:dyDescent="0.25">
      <c r="A47" s="33" t="s">
        <v>256</v>
      </c>
      <c r="B47" s="34">
        <v>82391</v>
      </c>
      <c r="C47" s="98">
        <f t="shared" si="0"/>
        <v>1024.4699545804308</v>
      </c>
      <c r="D47" s="10">
        <f t="shared" si="1"/>
        <v>42203.552013918139</v>
      </c>
    </row>
    <row r="48" spans="1:4" x14ac:dyDescent="0.25">
      <c r="A48" s="33" t="s">
        <v>257</v>
      </c>
      <c r="B48" s="34">
        <v>290962</v>
      </c>
      <c r="C48" s="98">
        <f t="shared" si="0"/>
        <v>1024.4699545804308</v>
      </c>
      <c r="D48" s="10">
        <f t="shared" si="1"/>
        <v>149040.91346231566</v>
      </c>
    </row>
    <row r="49" spans="1:4" x14ac:dyDescent="0.25">
      <c r="A49" s="33" t="s">
        <v>258</v>
      </c>
      <c r="B49" s="34">
        <v>506</v>
      </c>
      <c r="C49" s="98">
        <f t="shared" si="0"/>
        <v>1024.4699545804308</v>
      </c>
      <c r="D49" s="10">
        <f t="shared" si="1"/>
        <v>259.19089850884899</v>
      </c>
    </row>
    <row r="50" spans="1:4" x14ac:dyDescent="0.25">
      <c r="A50" s="33" t="s">
        <v>261</v>
      </c>
      <c r="B50" s="34">
        <v>106316</v>
      </c>
      <c r="C50" s="98">
        <f t="shared" si="0"/>
        <v>1024.4699545804308</v>
      </c>
      <c r="D50" s="10">
        <f t="shared" si="1"/>
        <v>54458.77384558654</v>
      </c>
    </row>
    <row r="51" spans="1:4" x14ac:dyDescent="0.25">
      <c r="A51" s="33" t="s">
        <v>183</v>
      </c>
      <c r="B51" s="34">
        <v>352187</v>
      </c>
      <c r="C51" s="98">
        <f t="shared" si="0"/>
        <v>1024.4699545804308</v>
      </c>
      <c r="D51" s="10">
        <f t="shared" si="1"/>
        <v>180402.49994690911</v>
      </c>
    </row>
    <row r="52" spans="1:4" x14ac:dyDescent="0.25">
      <c r="A52" s="33" t="s">
        <v>263</v>
      </c>
      <c r="B52" s="34">
        <v>9806</v>
      </c>
      <c r="C52" s="98">
        <f t="shared" si="0"/>
        <v>1024.4699545804308</v>
      </c>
      <c r="D52" s="10">
        <f t="shared" si="1"/>
        <v>5022.9761873078523</v>
      </c>
    </row>
    <row r="53" spans="1:4" x14ac:dyDescent="0.25">
      <c r="A53" s="33" t="s">
        <v>264</v>
      </c>
      <c r="B53" s="34">
        <v>82452</v>
      </c>
      <c r="C53" s="98">
        <f t="shared" si="0"/>
        <v>1024.4699545804308</v>
      </c>
      <c r="D53" s="10">
        <f t="shared" si="1"/>
        <v>42234.798347532836</v>
      </c>
    </row>
    <row r="54" spans="1:4" x14ac:dyDescent="0.25">
      <c r="A54" s="33" t="s">
        <v>265</v>
      </c>
      <c r="B54" s="34">
        <v>1284</v>
      </c>
      <c r="C54" s="98">
        <f t="shared" si="0"/>
        <v>1024.4699545804308</v>
      </c>
      <c r="D54" s="10">
        <f t="shared" si="1"/>
        <v>657.70971084063649</v>
      </c>
    </row>
    <row r="55" spans="1:4" x14ac:dyDescent="0.25">
      <c r="A55" s="33" t="s">
        <v>266</v>
      </c>
      <c r="B55" s="34">
        <v>2095</v>
      </c>
      <c r="C55" s="98">
        <f t="shared" si="0"/>
        <v>1024.4699545804308</v>
      </c>
      <c r="D55" s="10">
        <f t="shared" si="1"/>
        <v>1073.1322774230014</v>
      </c>
    </row>
    <row r="56" spans="1:4" x14ac:dyDescent="0.25">
      <c r="A56" s="33" t="s">
        <v>267</v>
      </c>
      <c r="B56" s="34">
        <v>1032</v>
      </c>
      <c r="C56" s="98">
        <f t="shared" si="0"/>
        <v>1024.4699545804308</v>
      </c>
      <c r="D56" s="10">
        <f t="shared" si="1"/>
        <v>528.6264965635022</v>
      </c>
    </row>
    <row r="57" spans="1:4" x14ac:dyDescent="0.25">
      <c r="A57" s="33" t="s">
        <v>184</v>
      </c>
      <c r="B57" s="34">
        <v>113723</v>
      </c>
      <c r="C57" s="98">
        <f t="shared" si="0"/>
        <v>1024.4699545804308</v>
      </c>
      <c r="D57" s="10">
        <f t="shared" si="1"/>
        <v>58252.898322375164</v>
      </c>
    </row>
    <row r="58" spans="1:4" x14ac:dyDescent="0.25">
      <c r="A58" s="33" t="s">
        <v>268</v>
      </c>
      <c r="B58" s="34">
        <v>894356</v>
      </c>
      <c r="C58" s="98">
        <f t="shared" si="0"/>
        <v>1024.4699545804308</v>
      </c>
      <c r="D58" s="10">
        <f t="shared" si="1"/>
        <v>458120.42534936784</v>
      </c>
    </row>
    <row r="59" spans="1:4" x14ac:dyDescent="0.25">
      <c r="A59" s="33" t="s">
        <v>185</v>
      </c>
      <c r="B59" s="34">
        <v>940286</v>
      </c>
      <c r="C59" s="98">
        <f t="shared" si="0"/>
        <v>1024.4699545804308</v>
      </c>
      <c r="D59" s="10">
        <f t="shared" si="1"/>
        <v>481647.37785630743</v>
      </c>
    </row>
    <row r="60" spans="1:4" x14ac:dyDescent="0.25">
      <c r="A60" s="33" t="s">
        <v>270</v>
      </c>
      <c r="B60" s="34">
        <v>7828</v>
      </c>
      <c r="C60" s="98">
        <f t="shared" si="0"/>
        <v>1024.4699545804308</v>
      </c>
      <c r="D60" s="10">
        <f t="shared" si="1"/>
        <v>4009.7754022278059</v>
      </c>
    </row>
    <row r="61" spans="1:4" x14ac:dyDescent="0.25">
      <c r="A61" s="33" t="s">
        <v>271</v>
      </c>
      <c r="B61" s="34">
        <v>1820</v>
      </c>
      <c r="C61" s="98">
        <f t="shared" si="0"/>
        <v>1024.4699545804308</v>
      </c>
      <c r="D61" s="10">
        <f t="shared" si="1"/>
        <v>932.26765866819198</v>
      </c>
    </row>
    <row r="62" spans="1:4" x14ac:dyDescent="0.25">
      <c r="A62" s="33" t="s">
        <v>272</v>
      </c>
      <c r="B62" s="34">
        <v>76572</v>
      </c>
      <c r="C62" s="98">
        <f t="shared" si="0"/>
        <v>1024.4699545804308</v>
      </c>
      <c r="D62" s="10">
        <f t="shared" si="1"/>
        <v>39222.856681066369</v>
      </c>
    </row>
    <row r="63" spans="1:4" x14ac:dyDescent="0.25">
      <c r="A63" s="33" t="s">
        <v>273</v>
      </c>
      <c r="B63" s="34">
        <v>6100</v>
      </c>
      <c r="C63" s="98">
        <f t="shared" si="0"/>
        <v>1024.4699545804308</v>
      </c>
      <c r="D63" s="10">
        <f t="shared" si="1"/>
        <v>3124.633361470314</v>
      </c>
    </row>
    <row r="64" spans="1:4" x14ac:dyDescent="0.25">
      <c r="A64" s="33" t="s">
        <v>274</v>
      </c>
      <c r="B64" s="34">
        <v>24295</v>
      </c>
      <c r="C64" s="98">
        <f t="shared" si="0"/>
        <v>1024.4699545804308</v>
      </c>
      <c r="D64" s="10">
        <f t="shared" si="1"/>
        <v>12444.748773265783</v>
      </c>
    </row>
    <row r="65" spans="1:4" x14ac:dyDescent="0.25">
      <c r="A65" s="33" t="s">
        <v>186</v>
      </c>
      <c r="B65" s="34">
        <v>100697</v>
      </c>
      <c r="C65" s="98">
        <f t="shared" si="0"/>
        <v>1024.4699545804308</v>
      </c>
      <c r="D65" s="10">
        <f t="shared" si="1"/>
        <v>51580.525508192819</v>
      </c>
    </row>
    <row r="66" spans="1:4" x14ac:dyDescent="0.25">
      <c r="A66" s="33" t="s">
        <v>276</v>
      </c>
      <c r="B66" s="34">
        <v>103775</v>
      </c>
      <c r="C66" s="98">
        <f t="shared" si="0"/>
        <v>1024.4699545804308</v>
      </c>
      <c r="D66" s="10">
        <f t="shared" si="1"/>
        <v>53157.1847682921</v>
      </c>
    </row>
    <row r="67" spans="1:4" x14ac:dyDescent="0.25">
      <c r="A67" s="33" t="s">
        <v>277</v>
      </c>
      <c r="B67" s="34">
        <v>114114</v>
      </c>
      <c r="C67" s="98">
        <f t="shared" si="0"/>
        <v>1024.4699545804308</v>
      </c>
      <c r="D67" s="10">
        <f t="shared" si="1"/>
        <v>58453.18219849564</v>
      </c>
    </row>
    <row r="68" spans="1:4" x14ac:dyDescent="0.25">
      <c r="A68" s="33" t="s">
        <v>279</v>
      </c>
      <c r="B68" s="34">
        <v>54630</v>
      </c>
      <c r="C68" s="98">
        <f t="shared" si="0"/>
        <v>1024.4699545804308</v>
      </c>
      <c r="D68" s="10">
        <f t="shared" si="1"/>
        <v>27983.396809364469</v>
      </c>
    </row>
    <row r="69" spans="1:4" x14ac:dyDescent="0.25">
      <c r="A69" s="33" t="s">
        <v>188</v>
      </c>
      <c r="B69" s="34">
        <v>583432</v>
      </c>
      <c r="C69" s="98">
        <f t="shared" ref="C69:C132" si="2">IF(B69&lt;&gt;0,$H$1,"")</f>
        <v>1024.4699545804308</v>
      </c>
      <c r="D69" s="10">
        <f t="shared" ref="D69:D132" si="3">(+B69*C69)/2000</f>
        <v>298854.27727038495</v>
      </c>
    </row>
    <row r="70" spans="1:4" x14ac:dyDescent="0.25">
      <c r="A70" s="33" t="s">
        <v>280</v>
      </c>
      <c r="B70" s="34">
        <v>11288</v>
      </c>
      <c r="C70" s="98">
        <f t="shared" si="2"/>
        <v>1024.4699545804308</v>
      </c>
      <c r="D70" s="10">
        <f t="shared" si="3"/>
        <v>5782.1084236519509</v>
      </c>
    </row>
    <row r="71" spans="1:4" x14ac:dyDescent="0.25">
      <c r="A71" s="33" t="s">
        <v>282</v>
      </c>
      <c r="B71" s="34">
        <v>5120</v>
      </c>
      <c r="C71" s="98">
        <f t="shared" si="2"/>
        <v>1024.4699545804308</v>
      </c>
      <c r="D71" s="10">
        <f t="shared" si="3"/>
        <v>2622.6430837259027</v>
      </c>
    </row>
    <row r="72" spans="1:4" x14ac:dyDescent="0.25">
      <c r="A72" s="33" t="s">
        <v>284</v>
      </c>
      <c r="B72" s="34">
        <v>6176</v>
      </c>
      <c r="C72" s="98">
        <f t="shared" si="2"/>
        <v>1024.4699545804308</v>
      </c>
      <c r="D72" s="10">
        <f t="shared" si="3"/>
        <v>3163.5632197443701</v>
      </c>
    </row>
    <row r="73" spans="1:4" x14ac:dyDescent="0.25">
      <c r="A73" s="33" t="s">
        <v>285</v>
      </c>
      <c r="B73" s="34">
        <v>32800</v>
      </c>
      <c r="C73" s="98">
        <f t="shared" si="2"/>
        <v>1024.4699545804308</v>
      </c>
      <c r="D73" s="10">
        <f t="shared" si="3"/>
        <v>16801.307255119067</v>
      </c>
    </row>
    <row r="74" spans="1:4" x14ac:dyDescent="0.25">
      <c r="A74" s="33" t="s">
        <v>287</v>
      </c>
      <c r="B74" s="34">
        <v>796</v>
      </c>
      <c r="C74" s="98">
        <f t="shared" si="2"/>
        <v>1024.4699545804308</v>
      </c>
      <c r="D74" s="10">
        <f t="shared" si="3"/>
        <v>407.73904192301148</v>
      </c>
    </row>
    <row r="75" spans="1:4" x14ac:dyDescent="0.25">
      <c r="A75" s="33" t="s">
        <v>174</v>
      </c>
      <c r="B75" s="34">
        <v>4649</v>
      </c>
      <c r="C75" s="98">
        <f t="shared" si="2"/>
        <v>1024.4699545804308</v>
      </c>
      <c r="D75" s="10">
        <f t="shared" si="3"/>
        <v>2381.3804094222114</v>
      </c>
    </row>
    <row r="76" spans="1:4" x14ac:dyDescent="0.25">
      <c r="A76" s="33" t="s">
        <v>175</v>
      </c>
      <c r="B76" s="34">
        <v>97704</v>
      </c>
      <c r="C76" s="98">
        <f t="shared" si="2"/>
        <v>1024.4699545804308</v>
      </c>
      <c r="D76" s="10">
        <f t="shared" si="3"/>
        <v>50047.406221163204</v>
      </c>
    </row>
    <row r="77" spans="1:4" x14ac:dyDescent="0.25">
      <c r="A77" s="33" t="s">
        <v>177</v>
      </c>
      <c r="B77" s="34">
        <v>70000</v>
      </c>
      <c r="C77" s="98">
        <f t="shared" si="2"/>
        <v>1024.4699545804308</v>
      </c>
      <c r="D77" s="10">
        <f t="shared" si="3"/>
        <v>35856.448410315083</v>
      </c>
    </row>
    <row r="78" spans="1:4" x14ac:dyDescent="0.25">
      <c r="A78" s="33" t="s">
        <v>178</v>
      </c>
      <c r="B78" s="34">
        <v>-28008</v>
      </c>
      <c r="C78" s="98">
        <f t="shared" si="2"/>
        <v>1024.4699545804308</v>
      </c>
      <c r="D78" s="10">
        <f t="shared" si="3"/>
        <v>-14346.677243944352</v>
      </c>
    </row>
    <row r="79" spans="1:4" x14ac:dyDescent="0.25">
      <c r="A79" s="33" t="s">
        <v>181</v>
      </c>
      <c r="B79" s="34">
        <v>413116</v>
      </c>
      <c r="C79" s="98">
        <f t="shared" si="2"/>
        <v>1024.4699545804308</v>
      </c>
      <c r="D79" s="10">
        <f t="shared" si="3"/>
        <v>211612.46487822462</v>
      </c>
    </row>
    <row r="80" spans="1:4" x14ac:dyDescent="0.25">
      <c r="A80" s="33" t="s">
        <v>182</v>
      </c>
      <c r="B80" s="34">
        <v>25607</v>
      </c>
      <c r="C80" s="98">
        <f t="shared" si="2"/>
        <v>1024.4699545804308</v>
      </c>
      <c r="D80" s="10">
        <f t="shared" si="3"/>
        <v>13116.801063470546</v>
      </c>
    </row>
    <row r="81" spans="1:4" x14ac:dyDescent="0.25">
      <c r="A81" s="33" t="s">
        <v>184</v>
      </c>
      <c r="B81" s="34">
        <v>18800</v>
      </c>
      <c r="C81" s="98">
        <f t="shared" si="2"/>
        <v>1024.4699545804308</v>
      </c>
      <c r="D81" s="10">
        <f t="shared" si="3"/>
        <v>9630.0175730560495</v>
      </c>
    </row>
    <row r="82" spans="1:4" x14ac:dyDescent="0.25">
      <c r="A82" s="33" t="s">
        <v>188</v>
      </c>
      <c r="B82" s="34">
        <v>1099250</v>
      </c>
      <c r="C82" s="98">
        <f t="shared" si="2"/>
        <v>1024.4699545804308</v>
      </c>
      <c r="D82" s="10">
        <f t="shared" si="3"/>
        <v>563074.29878626927</v>
      </c>
    </row>
    <row r="83" spans="1:4" x14ac:dyDescent="0.25">
      <c r="A83" s="33" t="s">
        <v>174</v>
      </c>
      <c r="B83" s="34">
        <v>-4708</v>
      </c>
      <c r="C83" s="98">
        <f t="shared" si="2"/>
        <v>1024.4699545804308</v>
      </c>
      <c r="D83" s="10">
        <f t="shared" si="3"/>
        <v>-2411.6022730823342</v>
      </c>
    </row>
    <row r="84" spans="1:4" x14ac:dyDescent="0.25">
      <c r="A84" s="33" t="s">
        <v>175</v>
      </c>
      <c r="B84" s="34">
        <v>-99125</v>
      </c>
      <c r="C84" s="98">
        <f t="shared" si="2"/>
        <v>1024.4699545804308</v>
      </c>
      <c r="D84" s="10">
        <f t="shared" si="3"/>
        <v>-50775.292123892599</v>
      </c>
    </row>
    <row r="85" spans="1:4" x14ac:dyDescent="0.25">
      <c r="A85" s="33" t="s">
        <v>177</v>
      </c>
      <c r="B85" s="34">
        <v>-70000</v>
      </c>
      <c r="C85" s="98">
        <f t="shared" si="2"/>
        <v>1024.4699545804308</v>
      </c>
      <c r="D85" s="10">
        <f t="shared" si="3"/>
        <v>-35856.448410315083</v>
      </c>
    </row>
    <row r="86" spans="1:4" x14ac:dyDescent="0.25">
      <c r="A86" s="33" t="s">
        <v>181</v>
      </c>
      <c r="B86" s="34">
        <v>-413016</v>
      </c>
      <c r="C86" s="98">
        <f t="shared" si="2"/>
        <v>1024.4699545804308</v>
      </c>
      <c r="D86" s="10">
        <f t="shared" si="3"/>
        <v>-211561.2413804956</v>
      </c>
    </row>
    <row r="87" spans="1:4" x14ac:dyDescent="0.25">
      <c r="A87" s="33" t="s">
        <v>182</v>
      </c>
      <c r="B87" s="34">
        <v>-25607</v>
      </c>
      <c r="C87" s="98">
        <f t="shared" si="2"/>
        <v>1024.4699545804308</v>
      </c>
      <c r="D87" s="10">
        <f t="shared" si="3"/>
        <v>-13116.801063470546</v>
      </c>
    </row>
    <row r="88" spans="1:4" x14ac:dyDescent="0.25">
      <c r="A88" s="33" t="s">
        <v>184</v>
      </c>
      <c r="B88" s="34">
        <v>-18800</v>
      </c>
      <c r="C88" s="98">
        <f t="shared" si="2"/>
        <v>1024.4699545804308</v>
      </c>
      <c r="D88" s="10">
        <f t="shared" si="3"/>
        <v>-9630.0175730560495</v>
      </c>
    </row>
    <row r="89" spans="1:4" x14ac:dyDescent="0.25">
      <c r="A89" s="33" t="s">
        <v>188</v>
      </c>
      <c r="B89" s="34">
        <v>-1099250</v>
      </c>
      <c r="C89" s="98">
        <f t="shared" si="2"/>
        <v>1024.4699545804308</v>
      </c>
      <c r="D89" s="10">
        <f t="shared" si="3"/>
        <v>-563074.29878626927</v>
      </c>
    </row>
    <row r="90" spans="1:4" x14ac:dyDescent="0.25">
      <c r="A90" s="33" t="s">
        <v>192</v>
      </c>
      <c r="B90" s="34">
        <v>-15</v>
      </c>
      <c r="C90" s="98">
        <f t="shared" si="2"/>
        <v>1024.4699545804308</v>
      </c>
      <c r="D90" s="10">
        <f t="shared" si="3"/>
        <v>-7.6835246593532309</v>
      </c>
    </row>
    <row r="91" spans="1:4" x14ac:dyDescent="0.25">
      <c r="A91" s="33" t="s">
        <v>194</v>
      </c>
      <c r="B91" s="34">
        <v>-41915</v>
      </c>
      <c r="C91" s="98">
        <f t="shared" si="2"/>
        <v>1024.4699545804308</v>
      </c>
      <c r="D91" s="10">
        <f t="shared" si="3"/>
        <v>-21470.329073119381</v>
      </c>
    </row>
    <row r="92" spans="1:4" x14ac:dyDescent="0.25">
      <c r="A92" s="33" t="s">
        <v>195</v>
      </c>
      <c r="B92" s="34">
        <v>-32027</v>
      </c>
      <c r="C92" s="98">
        <f t="shared" si="2"/>
        <v>1024.4699545804308</v>
      </c>
      <c r="D92" s="10">
        <f t="shared" si="3"/>
        <v>-16405.349617673728</v>
      </c>
    </row>
    <row r="93" spans="1:4" x14ac:dyDescent="0.25">
      <c r="A93" s="33" t="s">
        <v>196</v>
      </c>
      <c r="B93" s="34">
        <v>-43931</v>
      </c>
      <c r="C93" s="98">
        <f t="shared" si="2"/>
        <v>1024.4699545804308</v>
      </c>
      <c r="D93" s="10">
        <f t="shared" si="3"/>
        <v>-22502.994787336454</v>
      </c>
    </row>
    <row r="94" spans="1:4" x14ac:dyDescent="0.25">
      <c r="A94" s="33" t="s">
        <v>197</v>
      </c>
      <c r="B94" s="34">
        <v>-1335</v>
      </c>
      <c r="C94" s="98">
        <f t="shared" si="2"/>
        <v>1024.4699545804308</v>
      </c>
      <c r="D94" s="10">
        <f t="shared" si="3"/>
        <v>-683.83369468243757</v>
      </c>
    </row>
    <row r="95" spans="1:4" x14ac:dyDescent="0.25">
      <c r="A95" s="33" t="s">
        <v>198</v>
      </c>
      <c r="B95" s="34">
        <v>-2123</v>
      </c>
      <c r="C95" s="98">
        <f t="shared" si="2"/>
        <v>1024.4699545804308</v>
      </c>
      <c r="D95" s="10">
        <f t="shared" si="3"/>
        <v>-1087.4748567871272</v>
      </c>
    </row>
    <row r="96" spans="1:4" x14ac:dyDescent="0.25">
      <c r="A96" s="33" t="s">
        <v>200</v>
      </c>
      <c r="B96" s="34">
        <v>1458513</v>
      </c>
      <c r="C96" s="98">
        <f t="shared" si="2"/>
        <v>1024.4699545804308</v>
      </c>
      <c r="D96" s="10">
        <f t="shared" si="3"/>
        <v>747101.37343248387</v>
      </c>
    </row>
    <row r="97" spans="1:4" x14ac:dyDescent="0.25">
      <c r="A97" s="33" t="s">
        <v>201</v>
      </c>
      <c r="B97" s="34">
        <v>-28512</v>
      </c>
      <c r="C97" s="98">
        <f t="shared" si="2"/>
        <v>1024.4699545804308</v>
      </c>
      <c r="D97" s="10">
        <f t="shared" si="3"/>
        <v>-14604.84367249862</v>
      </c>
    </row>
    <row r="98" spans="1:4" x14ac:dyDescent="0.25">
      <c r="A98" s="33" t="s">
        <v>175</v>
      </c>
      <c r="B98" s="34">
        <v>-138425</v>
      </c>
      <c r="C98" s="98">
        <f t="shared" si="2"/>
        <v>1024.4699545804308</v>
      </c>
      <c r="D98" s="10">
        <f t="shared" si="3"/>
        <v>-70906.126731398064</v>
      </c>
    </row>
    <row r="99" spans="1:4" x14ac:dyDescent="0.25">
      <c r="A99" s="33" t="s">
        <v>202</v>
      </c>
      <c r="B99" s="34">
        <v>-23</v>
      </c>
      <c r="C99" s="98">
        <f t="shared" si="2"/>
        <v>1024.4699545804308</v>
      </c>
      <c r="D99" s="10">
        <f t="shared" si="3"/>
        <v>-11.781404477674954</v>
      </c>
    </row>
    <row r="100" spans="1:4" x14ac:dyDescent="0.25">
      <c r="A100" s="33" t="s">
        <v>204</v>
      </c>
      <c r="B100" s="34">
        <v>-1085</v>
      </c>
      <c r="C100" s="98">
        <f t="shared" si="2"/>
        <v>1024.4699545804308</v>
      </c>
      <c r="D100" s="10">
        <f t="shared" si="3"/>
        <v>-555.77495035988375</v>
      </c>
    </row>
    <row r="101" spans="1:4" x14ac:dyDescent="0.25">
      <c r="A101" s="33" t="s">
        <v>176</v>
      </c>
      <c r="B101" s="34">
        <v>-177806</v>
      </c>
      <c r="C101" s="98">
        <f t="shared" si="2"/>
        <v>1024.4699545804308</v>
      </c>
      <c r="D101" s="10">
        <f t="shared" si="3"/>
        <v>-91078.452372064043</v>
      </c>
    </row>
    <row r="102" spans="1:4" x14ac:dyDescent="0.25">
      <c r="A102" s="33" t="s">
        <v>208</v>
      </c>
      <c r="B102" s="34">
        <v>-7327</v>
      </c>
      <c r="C102" s="98">
        <f t="shared" si="2"/>
        <v>1024.4699545804308</v>
      </c>
      <c r="D102" s="10">
        <f t="shared" si="3"/>
        <v>-3753.1456786054082</v>
      </c>
    </row>
    <row r="103" spans="1:4" x14ac:dyDescent="0.25">
      <c r="A103" s="33" t="s">
        <v>189</v>
      </c>
      <c r="B103" s="34">
        <v>-232727</v>
      </c>
      <c r="C103" s="98">
        <f t="shared" si="2"/>
        <v>1024.4699545804308</v>
      </c>
      <c r="D103" s="10">
        <f t="shared" si="3"/>
        <v>-119210.90955981995</v>
      </c>
    </row>
    <row r="104" spans="1:4" x14ac:dyDescent="0.25">
      <c r="A104" s="33" t="s">
        <v>213</v>
      </c>
      <c r="B104" s="34">
        <v>-17042</v>
      </c>
      <c r="C104" s="98">
        <f t="shared" si="2"/>
        <v>1024.4699545804308</v>
      </c>
      <c r="D104" s="10">
        <f t="shared" si="3"/>
        <v>-8729.5084829798507</v>
      </c>
    </row>
    <row r="105" spans="1:4" x14ac:dyDescent="0.25">
      <c r="A105" s="33" t="s">
        <v>214</v>
      </c>
      <c r="B105" s="34">
        <v>-8142</v>
      </c>
      <c r="C105" s="98">
        <f t="shared" si="2"/>
        <v>1024.4699545804308</v>
      </c>
      <c r="D105" s="10">
        <f t="shared" si="3"/>
        <v>-4170.617185096934</v>
      </c>
    </row>
    <row r="106" spans="1:4" x14ac:dyDescent="0.25">
      <c r="A106" s="33" t="s">
        <v>177</v>
      </c>
      <c r="B106" s="34">
        <v>-86673</v>
      </c>
      <c r="C106" s="98">
        <f t="shared" si="2"/>
        <v>1024.4699545804308</v>
      </c>
      <c r="D106" s="10">
        <f t="shared" si="3"/>
        <v>-44396.942186674838</v>
      </c>
    </row>
    <row r="107" spans="1:4" x14ac:dyDescent="0.25">
      <c r="A107" s="33" t="s">
        <v>215</v>
      </c>
      <c r="B107" s="34">
        <v>-7691</v>
      </c>
      <c r="C107" s="98">
        <f t="shared" si="2"/>
        <v>1024.4699545804308</v>
      </c>
      <c r="D107" s="10">
        <f t="shared" si="3"/>
        <v>-3939.5992103390467</v>
      </c>
    </row>
    <row r="108" spans="1:4" x14ac:dyDescent="0.25">
      <c r="A108" s="33" t="s">
        <v>216</v>
      </c>
      <c r="B108" s="34">
        <v>-1600</v>
      </c>
      <c r="C108" s="98">
        <f t="shared" si="2"/>
        <v>1024.4699545804308</v>
      </c>
      <c r="D108" s="10">
        <f t="shared" si="3"/>
        <v>-819.57596366434461</v>
      </c>
    </row>
    <row r="109" spans="1:4" x14ac:dyDescent="0.25">
      <c r="A109" s="33" t="s">
        <v>217</v>
      </c>
      <c r="B109" s="34">
        <v>-53578</v>
      </c>
      <c r="C109" s="98">
        <f t="shared" si="2"/>
        <v>1024.4699545804308</v>
      </c>
      <c r="D109" s="10">
        <f t="shared" si="3"/>
        <v>-27444.525613255162</v>
      </c>
    </row>
    <row r="110" spans="1:4" x14ac:dyDescent="0.25">
      <c r="A110" s="33" t="s">
        <v>179</v>
      </c>
      <c r="B110" s="34">
        <v>-461</v>
      </c>
      <c r="C110" s="98">
        <f t="shared" si="2"/>
        <v>1024.4699545804308</v>
      </c>
      <c r="D110" s="10">
        <f t="shared" si="3"/>
        <v>-236.14032453078931</v>
      </c>
    </row>
    <row r="111" spans="1:4" x14ac:dyDescent="0.25">
      <c r="A111" s="33" t="s">
        <v>221</v>
      </c>
      <c r="B111" s="34">
        <v>-2690</v>
      </c>
      <c r="C111" s="98">
        <f t="shared" si="2"/>
        <v>1024.4699545804308</v>
      </c>
      <c r="D111" s="10">
        <f t="shared" si="3"/>
        <v>-1377.9120889106794</v>
      </c>
    </row>
    <row r="112" spans="1:4" x14ac:dyDescent="0.25">
      <c r="A112" s="33" t="s">
        <v>223</v>
      </c>
      <c r="B112" s="34">
        <v>-38663</v>
      </c>
      <c r="C112" s="98">
        <f t="shared" si="2"/>
        <v>1024.4699545804308</v>
      </c>
      <c r="D112" s="10">
        <f t="shared" si="3"/>
        <v>-19804.5409269716</v>
      </c>
    </row>
    <row r="113" spans="1:4" x14ac:dyDescent="0.25">
      <c r="A113" s="33" t="s">
        <v>224</v>
      </c>
      <c r="B113" s="34">
        <v>-131275</v>
      </c>
      <c r="C113" s="98">
        <f t="shared" si="2"/>
        <v>1024.4699545804308</v>
      </c>
      <c r="D113" s="10">
        <f t="shared" si="3"/>
        <v>-67243.646643773012</v>
      </c>
    </row>
    <row r="114" spans="1:4" x14ac:dyDescent="0.25">
      <c r="A114" s="33" t="s">
        <v>225</v>
      </c>
      <c r="B114" s="34">
        <v>-690</v>
      </c>
      <c r="C114" s="98">
        <f t="shared" si="2"/>
        <v>1024.4699545804308</v>
      </c>
      <c r="D114" s="10">
        <f t="shared" si="3"/>
        <v>-353.44213433024862</v>
      </c>
    </row>
    <row r="115" spans="1:4" x14ac:dyDescent="0.25">
      <c r="A115" s="33" t="s">
        <v>226</v>
      </c>
      <c r="B115" s="34">
        <v>-13801</v>
      </c>
      <c r="C115" s="98">
        <f t="shared" si="2"/>
        <v>1024.4699545804308</v>
      </c>
      <c r="D115" s="10">
        <f t="shared" si="3"/>
        <v>-7069.3549215822632</v>
      </c>
    </row>
    <row r="116" spans="1:4" x14ac:dyDescent="0.25">
      <c r="A116" s="33" t="s">
        <v>227</v>
      </c>
      <c r="B116" s="34">
        <v>-937</v>
      </c>
      <c r="C116" s="98">
        <f t="shared" si="2"/>
        <v>1024.4699545804308</v>
      </c>
      <c r="D116" s="10">
        <f t="shared" si="3"/>
        <v>-479.9641737209318</v>
      </c>
    </row>
    <row r="117" spans="1:4" x14ac:dyDescent="0.25">
      <c r="A117" s="33" t="s">
        <v>228</v>
      </c>
      <c r="B117" s="34">
        <v>-14406</v>
      </c>
      <c r="C117" s="98">
        <f t="shared" si="2"/>
        <v>1024.4699545804308</v>
      </c>
      <c r="D117" s="10">
        <f t="shared" si="3"/>
        <v>-7379.2570828428425</v>
      </c>
    </row>
    <row r="118" spans="1:4" x14ac:dyDescent="0.25">
      <c r="A118" s="33" t="s">
        <v>229</v>
      </c>
      <c r="B118" s="34">
        <v>-10318</v>
      </c>
      <c r="C118" s="98">
        <f t="shared" si="2"/>
        <v>1024.4699545804308</v>
      </c>
      <c r="D118" s="10">
        <f t="shared" si="3"/>
        <v>-5285.2404956804421</v>
      </c>
    </row>
    <row r="119" spans="1:4" x14ac:dyDescent="0.25">
      <c r="A119" s="33" t="s">
        <v>230</v>
      </c>
      <c r="B119" s="34">
        <v>-97329</v>
      </c>
      <c r="C119" s="98">
        <f t="shared" si="2"/>
        <v>1024.4699545804308</v>
      </c>
      <c r="D119" s="10">
        <f t="shared" si="3"/>
        <v>-49855.318104679376</v>
      </c>
    </row>
    <row r="120" spans="1:4" x14ac:dyDescent="0.25">
      <c r="A120" s="33" t="s">
        <v>232</v>
      </c>
      <c r="B120" s="34">
        <v>-22104</v>
      </c>
      <c r="C120" s="98">
        <f t="shared" si="2"/>
        <v>1024.4699545804308</v>
      </c>
      <c r="D120" s="10">
        <f t="shared" si="3"/>
        <v>-11322.441938022921</v>
      </c>
    </row>
    <row r="121" spans="1:4" x14ac:dyDescent="0.25">
      <c r="A121" s="33" t="s">
        <v>233</v>
      </c>
      <c r="B121" s="34">
        <v>-3600</v>
      </c>
      <c r="C121" s="98">
        <f t="shared" si="2"/>
        <v>1024.4699545804308</v>
      </c>
      <c r="D121" s="10">
        <f t="shared" si="3"/>
        <v>-1844.0459182447753</v>
      </c>
    </row>
    <row r="122" spans="1:4" x14ac:dyDescent="0.25">
      <c r="A122" s="33" t="s">
        <v>235</v>
      </c>
      <c r="B122" s="34">
        <v>-20700</v>
      </c>
      <c r="C122" s="98">
        <f t="shared" si="2"/>
        <v>1024.4699545804308</v>
      </c>
      <c r="D122" s="10">
        <f t="shared" si="3"/>
        <v>-10603.264029907459</v>
      </c>
    </row>
    <row r="123" spans="1:4" x14ac:dyDescent="0.25">
      <c r="A123" s="33" t="s">
        <v>236</v>
      </c>
      <c r="B123" s="34">
        <v>-98388</v>
      </c>
      <c r="C123" s="98">
        <f t="shared" si="2"/>
        <v>1024.4699545804308</v>
      </c>
      <c r="D123" s="10">
        <f t="shared" si="3"/>
        <v>-50397.774945629717</v>
      </c>
    </row>
    <row r="124" spans="1:4" x14ac:dyDescent="0.25">
      <c r="A124" s="33" t="s">
        <v>239</v>
      </c>
      <c r="B124" s="34">
        <v>-5520</v>
      </c>
      <c r="C124" s="98">
        <f t="shared" si="2"/>
        <v>1024.4699545804308</v>
      </c>
      <c r="D124" s="10">
        <f t="shared" si="3"/>
        <v>-2827.537074641989</v>
      </c>
    </row>
    <row r="125" spans="1:4" x14ac:dyDescent="0.25">
      <c r="A125" s="33" t="s">
        <v>241</v>
      </c>
      <c r="B125" s="34">
        <v>-1113</v>
      </c>
      <c r="C125" s="98">
        <f t="shared" si="2"/>
        <v>1024.4699545804308</v>
      </c>
      <c r="D125" s="10">
        <f t="shared" si="3"/>
        <v>-570.11752972400973</v>
      </c>
    </row>
    <row r="126" spans="1:4" x14ac:dyDescent="0.25">
      <c r="A126" s="33" t="s">
        <v>243</v>
      </c>
      <c r="B126" s="34">
        <v>-5200</v>
      </c>
      <c r="C126" s="98">
        <f t="shared" si="2"/>
        <v>1024.4699545804308</v>
      </c>
      <c r="D126" s="10">
        <f t="shared" si="3"/>
        <v>-2663.62188190912</v>
      </c>
    </row>
    <row r="127" spans="1:4" x14ac:dyDescent="0.25">
      <c r="A127" s="33" t="s">
        <v>244</v>
      </c>
      <c r="B127" s="34">
        <v>-180</v>
      </c>
      <c r="C127" s="98">
        <f t="shared" si="2"/>
        <v>1024.4699545804308</v>
      </c>
      <c r="D127" s="10">
        <f t="shared" si="3"/>
        <v>-92.202295912238768</v>
      </c>
    </row>
    <row r="128" spans="1:4" x14ac:dyDescent="0.25">
      <c r="A128" s="33" t="s">
        <v>180</v>
      </c>
      <c r="B128" s="34">
        <v>-491984</v>
      </c>
      <c r="C128" s="98">
        <f t="shared" si="2"/>
        <v>1024.4699545804308</v>
      </c>
      <c r="D128" s="10">
        <f t="shared" si="3"/>
        <v>-252011.41306714935</v>
      </c>
    </row>
    <row r="129" spans="1:4" x14ac:dyDescent="0.25">
      <c r="A129" s="33" t="s">
        <v>245</v>
      </c>
      <c r="B129" s="34">
        <v>-260</v>
      </c>
      <c r="C129" s="98">
        <f t="shared" si="2"/>
        <v>1024.4699545804308</v>
      </c>
      <c r="D129" s="10">
        <f t="shared" si="3"/>
        <v>-133.18109409545602</v>
      </c>
    </row>
    <row r="130" spans="1:4" x14ac:dyDescent="0.25">
      <c r="A130" s="33" t="s">
        <v>251</v>
      </c>
      <c r="B130" s="34">
        <v>-5792</v>
      </c>
      <c r="C130" s="98">
        <f t="shared" si="2"/>
        <v>1024.4699545804308</v>
      </c>
      <c r="D130" s="10">
        <f t="shared" si="3"/>
        <v>-2966.8649884649276</v>
      </c>
    </row>
    <row r="131" spans="1:4" x14ac:dyDescent="0.25">
      <c r="A131" s="33" t="s">
        <v>252</v>
      </c>
      <c r="B131" s="34">
        <v>-13384</v>
      </c>
      <c r="C131" s="98">
        <f t="shared" si="2"/>
        <v>1024.4699545804308</v>
      </c>
      <c r="D131" s="10">
        <f t="shared" si="3"/>
        <v>-6855.7529360522431</v>
      </c>
    </row>
    <row r="132" spans="1:4" x14ac:dyDescent="0.25">
      <c r="A132" s="33" t="s">
        <v>254</v>
      </c>
      <c r="B132" s="34">
        <v>-455</v>
      </c>
      <c r="C132" s="98">
        <f t="shared" si="2"/>
        <v>1024.4699545804308</v>
      </c>
      <c r="D132" s="10">
        <f t="shared" si="3"/>
        <v>-233.066914667048</v>
      </c>
    </row>
    <row r="133" spans="1:4" x14ac:dyDescent="0.25">
      <c r="A133" s="33" t="s">
        <v>255</v>
      </c>
      <c r="B133" s="34">
        <v>-11857</v>
      </c>
      <c r="C133" s="98">
        <f t="shared" ref="C133:C160" si="4">IF(B133&lt;&gt;0,$H$1,"")</f>
        <v>1024.4699545804308</v>
      </c>
      <c r="D133" s="10">
        <f t="shared" ref="D133:D160" si="5">(+B133*C133)/2000</f>
        <v>-6073.5701257300843</v>
      </c>
    </row>
    <row r="134" spans="1:4" x14ac:dyDescent="0.25">
      <c r="A134" s="33" t="s">
        <v>256</v>
      </c>
      <c r="B134" s="34">
        <v>-80207</v>
      </c>
      <c r="C134" s="98">
        <f t="shared" si="4"/>
        <v>1024.4699545804308</v>
      </c>
      <c r="D134" s="10">
        <f t="shared" si="5"/>
        <v>-41084.830823516306</v>
      </c>
    </row>
    <row r="135" spans="1:4" x14ac:dyDescent="0.25">
      <c r="A135" s="33" t="s">
        <v>257</v>
      </c>
      <c r="B135" s="34">
        <v>-122205</v>
      </c>
      <c r="C135" s="98">
        <f t="shared" si="4"/>
        <v>1024.4699545804308</v>
      </c>
      <c r="D135" s="10">
        <f t="shared" si="5"/>
        <v>-62597.675399750769</v>
      </c>
    </row>
    <row r="136" spans="1:4" x14ac:dyDescent="0.25">
      <c r="A136" s="33" t="s">
        <v>258</v>
      </c>
      <c r="B136" s="34">
        <v>-800</v>
      </c>
      <c r="C136" s="98">
        <f t="shared" si="4"/>
        <v>1024.4699545804308</v>
      </c>
      <c r="D136" s="10">
        <f t="shared" si="5"/>
        <v>-409.78798183217231</v>
      </c>
    </row>
    <row r="137" spans="1:4" x14ac:dyDescent="0.25">
      <c r="A137" s="33" t="s">
        <v>261</v>
      </c>
      <c r="B137" s="34">
        <v>-37229</v>
      </c>
      <c r="C137" s="98">
        <f t="shared" si="4"/>
        <v>1024.4699545804308</v>
      </c>
      <c r="D137" s="10">
        <f t="shared" si="5"/>
        <v>-19069.995969537431</v>
      </c>
    </row>
    <row r="138" spans="1:4" x14ac:dyDescent="0.25">
      <c r="A138" s="33" t="s">
        <v>183</v>
      </c>
      <c r="B138" s="34">
        <v>-317422</v>
      </c>
      <c r="C138" s="98">
        <f t="shared" si="4"/>
        <v>1024.4699545804308</v>
      </c>
      <c r="D138" s="10">
        <f t="shared" si="5"/>
        <v>-162594.65096141477</v>
      </c>
    </row>
    <row r="139" spans="1:4" x14ac:dyDescent="0.25">
      <c r="A139" s="33" t="s">
        <v>263</v>
      </c>
      <c r="B139" s="34">
        <v>-15435</v>
      </c>
      <c r="C139" s="98">
        <f t="shared" si="4"/>
        <v>1024.4699545804308</v>
      </c>
      <c r="D139" s="10">
        <f t="shared" si="5"/>
        <v>-7906.3468744744741</v>
      </c>
    </row>
    <row r="140" spans="1:4" x14ac:dyDescent="0.25">
      <c r="A140" s="33" t="s">
        <v>264</v>
      </c>
      <c r="B140" s="34">
        <v>-74196</v>
      </c>
      <c r="C140" s="98">
        <f t="shared" si="4"/>
        <v>1024.4699545804308</v>
      </c>
      <c r="D140" s="10">
        <f t="shared" si="5"/>
        <v>-38005.786375024829</v>
      </c>
    </row>
    <row r="141" spans="1:4" x14ac:dyDescent="0.25">
      <c r="A141" s="33" t="s">
        <v>265</v>
      </c>
      <c r="B141" s="34">
        <v>-1257</v>
      </c>
      <c r="C141" s="98">
        <f t="shared" si="4"/>
        <v>1024.4699545804308</v>
      </c>
      <c r="D141" s="10">
        <f t="shared" si="5"/>
        <v>-643.87936645380069</v>
      </c>
    </row>
    <row r="142" spans="1:4" x14ac:dyDescent="0.25">
      <c r="A142" s="33" t="s">
        <v>266</v>
      </c>
      <c r="B142" s="34">
        <v>-2305</v>
      </c>
      <c r="C142" s="98">
        <f t="shared" si="4"/>
        <v>1024.4699545804308</v>
      </c>
      <c r="D142" s="10">
        <f t="shared" si="5"/>
        <v>-1180.7016226539465</v>
      </c>
    </row>
    <row r="143" spans="1:4" x14ac:dyDescent="0.25">
      <c r="A143" s="33" t="s">
        <v>267</v>
      </c>
      <c r="B143" s="34">
        <v>-30998</v>
      </c>
      <c r="C143" s="98">
        <f t="shared" si="4"/>
        <v>1024.4699545804308</v>
      </c>
      <c r="D143" s="10">
        <f t="shared" si="5"/>
        <v>-15878.259826042096</v>
      </c>
    </row>
    <row r="144" spans="1:4" x14ac:dyDescent="0.25">
      <c r="A144" s="33" t="s">
        <v>184</v>
      </c>
      <c r="B144" s="34">
        <v>-51896</v>
      </c>
      <c r="C144" s="98">
        <f t="shared" si="4"/>
        <v>1024.4699545804308</v>
      </c>
      <c r="D144" s="10">
        <f t="shared" si="5"/>
        <v>-26582.946381453017</v>
      </c>
    </row>
    <row r="145" spans="1:4" x14ac:dyDescent="0.25">
      <c r="A145" s="33" t="s">
        <v>268</v>
      </c>
      <c r="B145" s="34">
        <v>-38348</v>
      </c>
      <c r="C145" s="98">
        <f t="shared" si="4"/>
        <v>1024.4699545804308</v>
      </c>
      <c r="D145" s="10">
        <f t="shared" si="5"/>
        <v>-19643.186909125179</v>
      </c>
    </row>
    <row r="146" spans="1:4" x14ac:dyDescent="0.25">
      <c r="A146" s="33" t="s">
        <v>185</v>
      </c>
      <c r="B146" s="34">
        <v>-158471</v>
      </c>
      <c r="C146" s="98">
        <f t="shared" si="4"/>
        <v>1024.4699545804308</v>
      </c>
      <c r="D146" s="10">
        <f t="shared" si="5"/>
        <v>-81174.389086157724</v>
      </c>
    </row>
    <row r="147" spans="1:4" x14ac:dyDescent="0.25">
      <c r="A147" s="33" t="s">
        <v>270</v>
      </c>
      <c r="B147" s="34">
        <v>-17217</v>
      </c>
      <c r="C147" s="98">
        <f t="shared" si="4"/>
        <v>1024.4699545804308</v>
      </c>
      <c r="D147" s="10">
        <f t="shared" si="5"/>
        <v>-8819.149604005639</v>
      </c>
    </row>
    <row r="148" spans="1:4" x14ac:dyDescent="0.25">
      <c r="A148" s="33" t="s">
        <v>271</v>
      </c>
      <c r="B148" s="34">
        <v>-166</v>
      </c>
      <c r="C148" s="98">
        <f t="shared" si="4"/>
        <v>1024.4699545804308</v>
      </c>
      <c r="D148" s="10">
        <f t="shared" si="5"/>
        <v>-85.031006230175763</v>
      </c>
    </row>
    <row r="149" spans="1:4" x14ac:dyDescent="0.25">
      <c r="A149" s="33" t="s">
        <v>272</v>
      </c>
      <c r="B149" s="34">
        <v>-22679</v>
      </c>
      <c r="C149" s="98">
        <f t="shared" si="4"/>
        <v>1024.4699545804308</v>
      </c>
      <c r="D149" s="10">
        <f t="shared" si="5"/>
        <v>-11616.977049964795</v>
      </c>
    </row>
    <row r="150" spans="1:4" x14ac:dyDescent="0.25">
      <c r="A150" s="33" t="s">
        <v>273</v>
      </c>
      <c r="B150" s="34">
        <v>-4250</v>
      </c>
      <c r="C150" s="98">
        <f t="shared" si="4"/>
        <v>1024.4699545804308</v>
      </c>
      <c r="D150" s="10">
        <f t="shared" si="5"/>
        <v>-2176.9986534834156</v>
      </c>
    </row>
    <row r="151" spans="1:4" x14ac:dyDescent="0.25">
      <c r="A151" s="33" t="s">
        <v>274</v>
      </c>
      <c r="B151" s="34">
        <v>-15700</v>
      </c>
      <c r="C151" s="98">
        <f t="shared" si="4"/>
        <v>1024.4699545804308</v>
      </c>
      <c r="D151" s="10">
        <f t="shared" si="5"/>
        <v>-8042.0891434563819</v>
      </c>
    </row>
    <row r="152" spans="1:4" x14ac:dyDescent="0.25">
      <c r="A152" s="33" t="s">
        <v>292</v>
      </c>
      <c r="B152" s="34">
        <v>-2578</v>
      </c>
      <c r="C152" s="98">
        <f t="shared" si="4"/>
        <v>1024.4699545804308</v>
      </c>
      <c r="D152" s="10">
        <f t="shared" si="5"/>
        <v>-1320.5417714541752</v>
      </c>
    </row>
    <row r="153" spans="1:4" x14ac:dyDescent="0.25">
      <c r="A153" s="33" t="s">
        <v>186</v>
      </c>
      <c r="B153" s="34">
        <v>-3208</v>
      </c>
      <c r="C153" s="98">
        <f t="shared" si="4"/>
        <v>1024.4699545804308</v>
      </c>
      <c r="D153" s="10">
        <f t="shared" si="5"/>
        <v>-1643.2498071470109</v>
      </c>
    </row>
    <row r="154" spans="1:4" x14ac:dyDescent="0.25">
      <c r="A154" s="33" t="s">
        <v>276</v>
      </c>
      <c r="B154" s="34">
        <v>-22392</v>
      </c>
      <c r="C154" s="98">
        <f t="shared" si="4"/>
        <v>1024.4699545804308</v>
      </c>
      <c r="D154" s="10">
        <f t="shared" si="5"/>
        <v>-11469.965611482503</v>
      </c>
    </row>
    <row r="155" spans="1:4" x14ac:dyDescent="0.25">
      <c r="A155" s="33" t="s">
        <v>279</v>
      </c>
      <c r="B155" s="34">
        <v>-11297</v>
      </c>
      <c r="C155" s="98">
        <f t="shared" si="4"/>
        <v>1024.4699545804308</v>
      </c>
      <c r="D155" s="10">
        <f t="shared" si="5"/>
        <v>-5786.7185384475633</v>
      </c>
    </row>
    <row r="156" spans="1:4" x14ac:dyDescent="0.25">
      <c r="A156" s="33" t="s">
        <v>188</v>
      </c>
      <c r="B156" s="34">
        <v>-200683</v>
      </c>
      <c r="C156" s="98">
        <f t="shared" si="4"/>
        <v>1024.4699545804308</v>
      </c>
      <c r="D156" s="10">
        <f t="shared" si="5"/>
        <v>-102796.8519475323</v>
      </c>
    </row>
    <row r="157" spans="1:4" x14ac:dyDescent="0.25">
      <c r="A157" s="33" t="s">
        <v>280</v>
      </c>
      <c r="B157" s="34">
        <v>-14678</v>
      </c>
      <c r="C157" s="98">
        <f t="shared" si="4"/>
        <v>1024.4699545804308</v>
      </c>
      <c r="D157" s="10">
        <f t="shared" si="5"/>
        <v>-7518.5849966657815</v>
      </c>
    </row>
    <row r="158" spans="1:4" x14ac:dyDescent="0.25">
      <c r="A158" s="33" t="s">
        <v>284</v>
      </c>
      <c r="B158" s="34">
        <v>-2835</v>
      </c>
      <c r="C158" s="98">
        <f t="shared" si="4"/>
        <v>1024.4699545804308</v>
      </c>
      <c r="D158" s="10">
        <f t="shared" si="5"/>
        <v>-1452.1861606177606</v>
      </c>
    </row>
    <row r="159" spans="1:4" x14ac:dyDescent="0.25">
      <c r="A159" s="33" t="s">
        <v>285</v>
      </c>
      <c r="B159" s="34">
        <v>-1600</v>
      </c>
      <c r="C159" s="98">
        <f t="shared" si="4"/>
        <v>1024.4699545804308</v>
      </c>
      <c r="D159" s="10">
        <f t="shared" si="5"/>
        <v>-819.57596366434461</v>
      </c>
    </row>
    <row r="160" spans="1:4" x14ac:dyDescent="0.25">
      <c r="A160" s="33" t="s">
        <v>287</v>
      </c>
      <c r="B160" s="34">
        <v>-275</v>
      </c>
      <c r="C160" s="98">
        <f t="shared" si="4"/>
        <v>1024.4699545804308</v>
      </c>
      <c r="D160" s="10">
        <f t="shared" si="5"/>
        <v>-140.86461875480921</v>
      </c>
    </row>
    <row r="161" spans="1:4" x14ac:dyDescent="0.25">
      <c r="A161" s="33"/>
      <c r="B161" s="34"/>
      <c r="C161" s="9"/>
      <c r="D161" s="10"/>
    </row>
    <row r="162" spans="1:4" ht="15.75" thickBot="1" x14ac:dyDescent="0.3">
      <c r="A162" s="36"/>
      <c r="B162" s="37"/>
      <c r="C162" s="15"/>
      <c r="D162" s="16"/>
    </row>
    <row r="163" spans="1:4" ht="16.5" thickTop="1" thickBot="1" x14ac:dyDescent="0.3">
      <c r="A163" s="13"/>
      <c r="B163" s="96">
        <f>SUM(B4:B162)</f>
        <v>5441422.0399999991</v>
      </c>
      <c r="C163" s="14"/>
      <c r="D163" s="97">
        <f>SUM(D4:D162)</f>
        <v>2787286.6950858752</v>
      </c>
    </row>
  </sheetData>
  <hyperlinks>
    <hyperlink ref="D1" r:id="rId1"/>
  </hyperlinks>
  <pageMargins left="0.7" right="0.7" top="0.75" bottom="0.75" header="0.3" footer="0.3"/>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2007</v>
      </c>
      <c r="D4" s="72" t="s">
        <v>40</v>
      </c>
      <c r="E4" s="68"/>
    </row>
    <row r="5" spans="1:7" thickBot="1" x14ac:dyDescent="0.35">
      <c r="A5" s="238" t="s">
        <v>21</v>
      </c>
      <c r="B5" s="239"/>
      <c r="C5" s="78">
        <f>+F10*'Census Stats'!$L$38</f>
        <v>2307477.0404587844</v>
      </c>
      <c r="D5" s="66">
        <f>+D13/C5</f>
        <v>9.3397397339715553</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10869347</v>
      </c>
      <c r="E10" s="19">
        <f>+D10/D13</f>
        <v>0.50434914750825188</v>
      </c>
      <c r="F10" s="70">
        <v>926080</v>
      </c>
      <c r="G10" s="58">
        <f>+D10/F10</f>
        <v>11.736941732895646</v>
      </c>
    </row>
    <row r="11" spans="1:7" ht="14.45" x14ac:dyDescent="0.3">
      <c r="A11" s="235" t="s">
        <v>17</v>
      </c>
      <c r="B11" s="236"/>
      <c r="C11" s="237"/>
      <c r="D11" s="70">
        <f>88409+9229215</f>
        <v>9317624</v>
      </c>
      <c r="E11" s="19">
        <f>+D11/D13</f>
        <v>0.43234756616036157</v>
      </c>
      <c r="F11" s="34">
        <f>2956+115577</f>
        <v>118533</v>
      </c>
      <c r="G11" s="58">
        <f>+D11/F11</f>
        <v>78.607847603620939</v>
      </c>
    </row>
    <row r="12" spans="1:7" ht="14.45" x14ac:dyDescent="0.3">
      <c r="A12" s="235" t="s">
        <v>18</v>
      </c>
      <c r="B12" s="236"/>
      <c r="C12" s="237"/>
      <c r="D12" s="70">
        <v>1364264</v>
      </c>
      <c r="E12" s="19">
        <f>+D12/D13</f>
        <v>6.3303286331386571E-2</v>
      </c>
      <c r="F12" s="6"/>
      <c r="G12" s="47"/>
    </row>
    <row r="13" spans="1:7" thickBot="1" x14ac:dyDescent="0.35">
      <c r="A13" s="48"/>
      <c r="B13" s="240" t="s">
        <v>13</v>
      </c>
      <c r="C13" s="239"/>
      <c r="D13" s="71">
        <f>SUM(D10:D12)</f>
        <v>21551235</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'2007 Known'!B48</f>
        <v>17976918.146000005</v>
      </c>
      <c r="E18" s="19">
        <f>+D18/(D18+D19)</f>
        <v>0.7749566440390393</v>
      </c>
      <c r="F18" s="10">
        <f>'2007 Known'!D48</f>
        <v>9018557.9234520178</v>
      </c>
      <c r="G18" s="47"/>
    </row>
    <row r="19" spans="1:8" ht="18" x14ac:dyDescent="0.35">
      <c r="A19" s="235" t="s">
        <v>34</v>
      </c>
      <c r="B19" s="236"/>
      <c r="C19" s="237"/>
      <c r="D19" s="59">
        <f>'2007 Unknown'!B183</f>
        <v>5220403</v>
      </c>
      <c r="E19" s="60">
        <f>+D19/(D18+D19)</f>
        <v>0.2250433559609607</v>
      </c>
      <c r="F19" s="74">
        <f>'2007 Unknown'!D183</f>
        <v>3136942.2095350744</v>
      </c>
      <c r="G19" s="76" t="s">
        <v>39</v>
      </c>
    </row>
    <row r="20" spans="1:8" ht="18.75" thickBot="1" x14ac:dyDescent="0.4">
      <c r="A20" s="48"/>
      <c r="B20" s="50"/>
      <c r="C20" s="50"/>
      <c r="D20" s="73">
        <f>+C4</f>
        <v>2007</v>
      </c>
      <c r="E20" s="55" t="s">
        <v>4</v>
      </c>
      <c r="F20" s="75">
        <f>SUM(F18:F19)</f>
        <v>12155500.132987093</v>
      </c>
      <c r="G20" s="77">
        <f>+F20/G22</f>
        <v>1.7499838949061071</v>
      </c>
    </row>
    <row r="22" spans="1:8" ht="18" x14ac:dyDescent="0.35">
      <c r="F22" s="24" t="s">
        <v>27</v>
      </c>
      <c r="G22" s="34">
        <f>+G29</f>
        <v>6946064</v>
      </c>
      <c r="H22" s="31"/>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D30" sqref="D30"/>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2007</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88728.5</v>
      </c>
      <c r="C4" s="34">
        <v>0</v>
      </c>
      <c r="D4" s="10">
        <v>0</v>
      </c>
    </row>
    <row r="5" spans="1:5" x14ac:dyDescent="0.25">
      <c r="A5" s="33" t="s">
        <v>294</v>
      </c>
      <c r="B5" s="34">
        <v>436208.3</v>
      </c>
      <c r="C5" s="34">
        <v>0</v>
      </c>
      <c r="D5" s="10">
        <v>0</v>
      </c>
    </row>
    <row r="6" spans="1:5" x14ac:dyDescent="0.25">
      <c r="A6" s="33" t="s">
        <v>295</v>
      </c>
      <c r="B6" s="34">
        <v>52146.400000000001</v>
      </c>
      <c r="C6" s="34">
        <v>0</v>
      </c>
      <c r="D6" s="10">
        <v>0</v>
      </c>
    </row>
    <row r="7" spans="1:5" x14ac:dyDescent="0.25">
      <c r="A7" s="33" t="s">
        <v>296</v>
      </c>
      <c r="B7" s="34">
        <v>176100.2</v>
      </c>
      <c r="C7" s="34">
        <v>0</v>
      </c>
      <c r="D7" s="10">
        <v>0</v>
      </c>
    </row>
    <row r="8" spans="1:5" x14ac:dyDescent="0.25">
      <c r="A8" s="33" t="s">
        <v>297</v>
      </c>
      <c r="B8" s="34">
        <v>401050.43</v>
      </c>
      <c r="C8" s="34">
        <v>0</v>
      </c>
      <c r="D8" s="10">
        <v>0</v>
      </c>
    </row>
    <row r="9" spans="1:5" x14ac:dyDescent="0.25">
      <c r="A9" s="33" t="s">
        <v>312</v>
      </c>
      <c r="B9" s="34">
        <v>2366043</v>
      </c>
      <c r="C9" s="34">
        <v>2509.6325806420255</v>
      </c>
      <c r="D9" s="10">
        <v>2968949.3</v>
      </c>
    </row>
    <row r="10" spans="1:5" x14ac:dyDescent="0.25">
      <c r="A10" s="33" t="s">
        <v>313</v>
      </c>
      <c r="B10" s="34">
        <v>2776869</v>
      </c>
      <c r="C10" s="34">
        <v>2420.5408501445331</v>
      </c>
      <c r="D10" s="10">
        <v>3360762.4249999998</v>
      </c>
    </row>
    <row r="11" spans="1:5" x14ac:dyDescent="0.25">
      <c r="A11" s="33" t="s">
        <v>299</v>
      </c>
      <c r="B11" s="34">
        <v>182970</v>
      </c>
      <c r="C11" s="34">
        <v>1127.5436203061972</v>
      </c>
      <c r="D11" s="10">
        <v>103153.32810371245</v>
      </c>
    </row>
    <row r="12" spans="1:5" x14ac:dyDescent="0.25">
      <c r="A12" s="33" t="s">
        <v>305</v>
      </c>
      <c r="B12" s="34">
        <v>636737.19999999995</v>
      </c>
      <c r="C12" s="34">
        <v>783.94989064411186</v>
      </c>
      <c r="D12" s="10">
        <v>249585.02915451897</v>
      </c>
    </row>
    <row r="13" spans="1:5" x14ac:dyDescent="0.25">
      <c r="A13" s="33" t="s">
        <v>298</v>
      </c>
      <c r="B13" s="34">
        <v>313.42</v>
      </c>
      <c r="C13" s="34">
        <v>1963.3964030374577</v>
      </c>
      <c r="D13" s="10">
        <v>307.68385032000003</v>
      </c>
    </row>
    <row r="14" spans="1:5" x14ac:dyDescent="0.25">
      <c r="A14" s="33" t="s">
        <v>301</v>
      </c>
      <c r="B14" s="34">
        <v>440914</v>
      </c>
      <c r="C14" s="34">
        <v>391.94270735263399</v>
      </c>
      <c r="D14" s="10">
        <v>86406.513434839639</v>
      </c>
    </row>
    <row r="15" spans="1:5" x14ac:dyDescent="0.25">
      <c r="A15" s="33" t="s">
        <v>302</v>
      </c>
      <c r="B15" s="34">
        <v>7927.5</v>
      </c>
      <c r="C15" s="34">
        <v>1599.7328073884109</v>
      </c>
      <c r="D15" s="10">
        <v>6340.9409152858134</v>
      </c>
    </row>
    <row r="16" spans="1:5" x14ac:dyDescent="0.25">
      <c r="A16" s="33" t="s">
        <v>303</v>
      </c>
      <c r="B16" s="34">
        <v>19646.900000000001</v>
      </c>
      <c r="C16" s="34">
        <v>1159.4426591845654</v>
      </c>
      <c r="D16" s="10">
        <v>11389.726990366618</v>
      </c>
    </row>
    <row r="17" spans="1:4" x14ac:dyDescent="0.25">
      <c r="A17" s="33" t="s">
        <v>304</v>
      </c>
      <c r="B17" s="34">
        <v>8908</v>
      </c>
      <c r="C17" s="34">
        <v>1324.5215387832911</v>
      </c>
      <c r="D17" s="10">
        <v>5899.4189337407788</v>
      </c>
    </row>
    <row r="18" spans="1:4" x14ac:dyDescent="0.25">
      <c r="A18" s="33" t="s">
        <v>306</v>
      </c>
      <c r="B18" s="34">
        <v>402465.2</v>
      </c>
      <c r="C18" s="34">
        <v>0</v>
      </c>
      <c r="D18" s="10">
        <v>0</v>
      </c>
    </row>
    <row r="19" spans="1:4" x14ac:dyDescent="0.25">
      <c r="A19" s="33" t="s">
        <v>310</v>
      </c>
      <c r="B19" s="34">
        <v>13208</v>
      </c>
      <c r="C19" s="34">
        <v>1471.3440376388919</v>
      </c>
      <c r="D19" s="10">
        <v>9716.756024567243</v>
      </c>
    </row>
    <row r="20" spans="1:4" x14ac:dyDescent="0.25">
      <c r="A20" s="33" t="s">
        <v>311</v>
      </c>
      <c r="B20" s="34">
        <v>612858.34600000002</v>
      </c>
      <c r="C20" s="34">
        <v>0</v>
      </c>
      <c r="D20" s="10">
        <v>0</v>
      </c>
    </row>
    <row r="21" spans="1:4" x14ac:dyDescent="0.25">
      <c r="A21" s="33" t="s">
        <v>315</v>
      </c>
      <c r="B21" s="34">
        <v>22373.439999999999</v>
      </c>
      <c r="C21" s="34">
        <v>858.78959999999995</v>
      </c>
      <c r="D21" s="10">
        <v>9607.0387941119989</v>
      </c>
    </row>
    <row r="22" spans="1:4" x14ac:dyDescent="0.25">
      <c r="A22" s="33" t="s">
        <v>175</v>
      </c>
      <c r="B22" s="34">
        <v>6923</v>
      </c>
      <c r="C22" s="34">
        <v>0</v>
      </c>
      <c r="D22" s="10">
        <v>0</v>
      </c>
    </row>
    <row r="23" spans="1:4" x14ac:dyDescent="0.25">
      <c r="A23" s="33" t="s">
        <v>318</v>
      </c>
      <c r="B23" s="34">
        <v>339510</v>
      </c>
      <c r="C23" s="34">
        <v>858.78959999999995</v>
      </c>
      <c r="D23" s="10">
        <v>145783.82854799999</v>
      </c>
    </row>
    <row r="24" spans="1:4" x14ac:dyDescent="0.25">
      <c r="A24" s="33" t="s">
        <v>321</v>
      </c>
      <c r="B24" s="34">
        <v>1279176</v>
      </c>
      <c r="C24" s="34">
        <v>0</v>
      </c>
      <c r="D24" s="10">
        <v>0</v>
      </c>
    </row>
    <row r="25" spans="1:4" x14ac:dyDescent="0.25">
      <c r="A25" s="33" t="s">
        <v>322</v>
      </c>
      <c r="B25" s="34">
        <v>2478149</v>
      </c>
      <c r="C25" s="34">
        <v>0</v>
      </c>
      <c r="D25" s="10">
        <v>0</v>
      </c>
    </row>
    <row r="26" spans="1:4" x14ac:dyDescent="0.25">
      <c r="A26" s="33" t="s">
        <v>323</v>
      </c>
      <c r="B26" s="34">
        <v>1143974</v>
      </c>
      <c r="C26" s="34">
        <v>0</v>
      </c>
      <c r="D26" s="10">
        <v>0</v>
      </c>
    </row>
    <row r="27" spans="1:4" x14ac:dyDescent="0.25">
      <c r="A27" s="33" t="s">
        <v>327</v>
      </c>
      <c r="B27" s="34">
        <v>437351</v>
      </c>
      <c r="C27" s="34">
        <v>0</v>
      </c>
      <c r="D27" s="10">
        <v>0</v>
      </c>
    </row>
    <row r="28" spans="1:4" x14ac:dyDescent="0.25">
      <c r="A28" s="33" t="s">
        <v>329</v>
      </c>
      <c r="B28" s="34">
        <v>471766</v>
      </c>
      <c r="C28" s="34">
        <v>0</v>
      </c>
      <c r="D28" s="10">
        <v>0</v>
      </c>
    </row>
    <row r="29" spans="1:4" x14ac:dyDescent="0.25">
      <c r="A29" s="33" t="s">
        <v>332</v>
      </c>
      <c r="B29" s="34">
        <v>8570</v>
      </c>
      <c r="C29" s="34">
        <v>0</v>
      </c>
      <c r="D29" s="10">
        <v>0</v>
      </c>
    </row>
    <row r="30" spans="1:4" x14ac:dyDescent="0.25">
      <c r="A30" s="33" t="s">
        <v>334</v>
      </c>
      <c r="B30" s="34">
        <v>744477</v>
      </c>
      <c r="C30" s="34">
        <v>2461.5283034203198</v>
      </c>
      <c r="D30" s="10">
        <f>C30*B30/2000</f>
        <v>916275.60337272473</v>
      </c>
    </row>
    <row r="31" spans="1:4" x14ac:dyDescent="0.25">
      <c r="A31" s="33" t="s">
        <v>339</v>
      </c>
      <c r="B31" s="34">
        <v>89728</v>
      </c>
      <c r="C31" s="34">
        <v>858.78959999999995</v>
      </c>
      <c r="D31" s="10">
        <v>38528.736614399997</v>
      </c>
    </row>
    <row r="32" spans="1:4" x14ac:dyDescent="0.25">
      <c r="A32" s="33" t="s">
        <v>343</v>
      </c>
      <c r="B32" s="34">
        <v>2091.6</v>
      </c>
      <c r="C32" s="34">
        <v>0</v>
      </c>
      <c r="D32" s="10">
        <v>0</v>
      </c>
    </row>
    <row r="33" spans="1:4" x14ac:dyDescent="0.25">
      <c r="A33" s="33" t="s">
        <v>344</v>
      </c>
      <c r="B33" s="34">
        <v>43893</v>
      </c>
      <c r="C33" s="34">
        <v>0</v>
      </c>
      <c r="D33" s="10">
        <v>0</v>
      </c>
    </row>
    <row r="34" spans="1:4" x14ac:dyDescent="0.25">
      <c r="A34" s="33" t="s">
        <v>348</v>
      </c>
      <c r="B34" s="34">
        <v>1860.32</v>
      </c>
      <c r="C34" s="34">
        <v>0</v>
      </c>
      <c r="D34" s="10">
        <v>0</v>
      </c>
    </row>
    <row r="35" spans="1:4" x14ac:dyDescent="0.25">
      <c r="A35" s="33" t="s">
        <v>349</v>
      </c>
      <c r="B35" s="34">
        <v>43644</v>
      </c>
      <c r="C35" s="34">
        <v>0</v>
      </c>
      <c r="D35" s="10">
        <v>0</v>
      </c>
    </row>
    <row r="36" spans="1:4" x14ac:dyDescent="0.25">
      <c r="A36" s="35" t="s">
        <v>351</v>
      </c>
      <c r="B36" s="34">
        <v>1025307.58</v>
      </c>
      <c r="C36" s="34">
        <v>716.46716245229504</v>
      </c>
      <c r="D36" s="10">
        <v>367299.60624171473</v>
      </c>
    </row>
    <row r="37" spans="1:4" x14ac:dyDescent="0.25">
      <c r="A37" s="35" t="s">
        <v>352</v>
      </c>
      <c r="B37" s="34">
        <v>22963.77</v>
      </c>
      <c r="C37" s="34">
        <v>0</v>
      </c>
      <c r="D37" s="10">
        <v>0</v>
      </c>
    </row>
    <row r="38" spans="1:4" x14ac:dyDescent="0.25">
      <c r="A38" s="35" t="s">
        <v>353</v>
      </c>
      <c r="B38" s="34">
        <v>2611.3200000000002</v>
      </c>
      <c r="C38" s="34">
        <v>1070.767948493221</v>
      </c>
      <c r="D38" s="10">
        <v>1398.058879629659</v>
      </c>
    </row>
    <row r="39" spans="1:4" x14ac:dyDescent="0.25">
      <c r="A39" s="35" t="s">
        <v>354</v>
      </c>
      <c r="B39" s="34">
        <v>2756.55</v>
      </c>
      <c r="C39" s="34">
        <v>0</v>
      </c>
      <c r="D39" s="10">
        <v>0</v>
      </c>
    </row>
    <row r="40" spans="1:4" x14ac:dyDescent="0.25">
      <c r="A40" s="35" t="s">
        <v>355</v>
      </c>
      <c r="B40" s="34">
        <v>141747</v>
      </c>
      <c r="C40" s="34">
        <v>4476.201431413494</v>
      </c>
      <c r="D40" s="10">
        <v>317244.06214928423</v>
      </c>
    </row>
    <row r="41" spans="1:4" x14ac:dyDescent="0.25">
      <c r="A41" s="35" t="s">
        <v>275</v>
      </c>
      <c r="B41" s="34">
        <v>228957.17</v>
      </c>
      <c r="C41" s="34">
        <v>848.73172220786239</v>
      </c>
      <c r="D41" s="10">
        <v>97161.606602969172</v>
      </c>
    </row>
    <row r="42" spans="1:4" x14ac:dyDescent="0.25">
      <c r="A42" s="35" t="s">
        <v>356</v>
      </c>
      <c r="B42" s="34">
        <v>458.4</v>
      </c>
      <c r="C42" s="34">
        <v>0</v>
      </c>
      <c r="D42" s="10">
        <v>0</v>
      </c>
    </row>
    <row r="43" spans="1:4" x14ac:dyDescent="0.25">
      <c r="A43" s="35" t="s">
        <v>277</v>
      </c>
      <c r="B43" s="34">
        <v>729134</v>
      </c>
      <c r="C43" s="34">
        <v>885.29203093487365</v>
      </c>
      <c r="D43" s="10">
        <v>322748.25984183408</v>
      </c>
    </row>
    <row r="44" spans="1:4" x14ac:dyDescent="0.25">
      <c r="A44" s="35" t="s">
        <v>357</v>
      </c>
      <c r="B44" s="34">
        <v>73012</v>
      </c>
      <c r="C44" s="34">
        <v>0</v>
      </c>
      <c r="D44" s="10">
        <v>0</v>
      </c>
    </row>
    <row r="45" spans="1:4" x14ac:dyDescent="0.25">
      <c r="A45" s="35" t="s">
        <v>358</v>
      </c>
      <c r="B45" s="34">
        <v>13389.6</v>
      </c>
      <c r="C45" s="34">
        <v>0</v>
      </c>
      <c r="D45" s="10">
        <v>0</v>
      </c>
    </row>
    <row r="46" spans="1:4" x14ac:dyDescent="0.25">
      <c r="A46" s="35"/>
      <c r="B46" s="34"/>
      <c r="C46" s="34"/>
      <c r="D46" s="10"/>
    </row>
    <row r="47" spans="1:4" ht="15.75" thickBot="1" x14ac:dyDescent="0.3">
      <c r="A47" s="36"/>
      <c r="B47" s="37"/>
      <c r="C47" s="37"/>
      <c r="D47" s="16"/>
    </row>
    <row r="48" spans="1:4" ht="16.5" thickTop="1" thickBot="1" x14ac:dyDescent="0.3">
      <c r="A48" s="1"/>
      <c r="B48" s="17">
        <f>SUM(B4:B47)</f>
        <v>17976918.146000005</v>
      </c>
      <c r="D48" s="17">
        <f>SUM(D4:D47)</f>
        <v>9018557.9234520178</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workbookViewId="0">
      <selection activeCell="B3" sqref="B3"/>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2007</v>
      </c>
      <c r="D1" s="8" t="s">
        <v>2</v>
      </c>
      <c r="H1" s="39">
        <v>1201.8007841674578</v>
      </c>
      <c r="I1" t="s">
        <v>6</v>
      </c>
    </row>
    <row r="2" spans="1:9" ht="18.75" x14ac:dyDescent="0.3">
      <c r="A2" s="3"/>
      <c r="B2" s="11" t="s">
        <v>31</v>
      </c>
      <c r="C2" s="11" t="s">
        <v>1</v>
      </c>
      <c r="D2" s="11" t="s">
        <v>5</v>
      </c>
      <c r="E2" s="4"/>
      <c r="F2" s="40" t="s">
        <v>9</v>
      </c>
      <c r="G2" s="38">
        <v>2007</v>
      </c>
      <c r="H2" s="41"/>
    </row>
    <row r="3" spans="1:9" ht="19.5" x14ac:dyDescent="0.35">
      <c r="A3" s="5" t="s">
        <v>0</v>
      </c>
      <c r="B3" s="12"/>
      <c r="C3" s="12" t="s">
        <v>7</v>
      </c>
      <c r="D3" s="12" t="s">
        <v>8</v>
      </c>
      <c r="E3" s="7"/>
    </row>
    <row r="4" spans="1:9" x14ac:dyDescent="0.25">
      <c r="A4" s="33" t="s">
        <v>193</v>
      </c>
      <c r="B4" s="34">
        <v>343</v>
      </c>
      <c r="C4" s="98">
        <f>IF(B4&lt;&gt;0,$H$1,"")</f>
        <v>1201.8007841674578</v>
      </c>
      <c r="D4" s="10">
        <f>(+B4*C4)/2000</f>
        <v>206.10883448471901</v>
      </c>
    </row>
    <row r="5" spans="1:9" x14ac:dyDescent="0.25">
      <c r="A5" s="33" t="s">
        <v>194</v>
      </c>
      <c r="B5" s="34">
        <v>78343.520000000004</v>
      </c>
      <c r="C5" s="98">
        <f t="shared" ref="C5:C68" si="0">IF(B5&lt;&gt;0,$H$1,"")</f>
        <v>1201.8007841674578</v>
      </c>
      <c r="D5" s="10">
        <f t="shared" ref="D5:D68" si="1">(+B5*C5)/2000</f>
        <v>47076.651885219457</v>
      </c>
    </row>
    <row r="6" spans="1:9" x14ac:dyDescent="0.25">
      <c r="A6" s="33" t="s">
        <v>172</v>
      </c>
      <c r="B6" s="34">
        <v>213884</v>
      </c>
      <c r="C6" s="98">
        <f t="shared" si="0"/>
        <v>1201.8007841674578</v>
      </c>
      <c r="D6" s="10">
        <f t="shared" si="1"/>
        <v>128522.97946043627</v>
      </c>
    </row>
    <row r="7" spans="1:9" x14ac:dyDescent="0.25">
      <c r="A7" s="33" t="s">
        <v>195</v>
      </c>
      <c r="B7" s="34">
        <v>61000</v>
      </c>
      <c r="C7" s="98">
        <f t="shared" si="0"/>
        <v>1201.8007841674578</v>
      </c>
      <c r="D7" s="10">
        <f t="shared" si="1"/>
        <v>36654.923917107466</v>
      </c>
    </row>
    <row r="8" spans="1:9" x14ac:dyDescent="0.25">
      <c r="A8" s="33" t="s">
        <v>196</v>
      </c>
      <c r="B8" s="34">
        <v>160006</v>
      </c>
      <c r="C8" s="98">
        <f t="shared" si="0"/>
        <v>1201.8007841674578</v>
      </c>
      <c r="D8" s="10">
        <f t="shared" si="1"/>
        <v>96147.668135749132</v>
      </c>
    </row>
    <row r="9" spans="1:9" x14ac:dyDescent="0.25">
      <c r="A9" s="33" t="s">
        <v>197</v>
      </c>
      <c r="B9" s="34">
        <v>23621</v>
      </c>
      <c r="C9" s="98">
        <f t="shared" si="0"/>
        <v>1201.8007841674578</v>
      </c>
      <c r="D9" s="10">
        <f t="shared" si="1"/>
        <v>14193.86816140976</v>
      </c>
    </row>
    <row r="10" spans="1:9" x14ac:dyDescent="0.25">
      <c r="A10" s="33" t="s">
        <v>198</v>
      </c>
      <c r="B10" s="34">
        <v>4400</v>
      </c>
      <c r="C10" s="98">
        <f t="shared" si="0"/>
        <v>1201.8007841674578</v>
      </c>
      <c r="D10" s="10">
        <f t="shared" si="1"/>
        <v>2643.9617251684072</v>
      </c>
    </row>
    <row r="11" spans="1:9" x14ac:dyDescent="0.25">
      <c r="A11" s="33" t="s">
        <v>200</v>
      </c>
      <c r="B11" s="34">
        <v>-2169507</v>
      </c>
      <c r="C11" s="98">
        <f t="shared" si="0"/>
        <v>1201.8007841674578</v>
      </c>
      <c r="D11" s="10">
        <f t="shared" si="1"/>
        <v>-1303657.6069283944</v>
      </c>
    </row>
    <row r="12" spans="1:9" x14ac:dyDescent="0.25">
      <c r="A12" s="33" t="s">
        <v>201</v>
      </c>
      <c r="B12" s="34">
        <v>32332</v>
      </c>
      <c r="C12" s="98">
        <f t="shared" si="0"/>
        <v>1201.8007841674578</v>
      </c>
      <c r="D12" s="10">
        <f t="shared" si="1"/>
        <v>19428.311476851122</v>
      </c>
    </row>
    <row r="13" spans="1:9" x14ac:dyDescent="0.25">
      <c r="A13" s="33" t="s">
        <v>175</v>
      </c>
      <c r="B13" s="34">
        <v>246829</v>
      </c>
      <c r="C13" s="98">
        <f t="shared" si="0"/>
        <v>1201.8007841674578</v>
      </c>
      <c r="D13" s="10">
        <f t="shared" si="1"/>
        <v>148319.6428776347</v>
      </c>
    </row>
    <row r="14" spans="1:9" x14ac:dyDescent="0.25">
      <c r="A14" s="33" t="s">
        <v>202</v>
      </c>
      <c r="B14" s="34">
        <v>85</v>
      </c>
      <c r="C14" s="98">
        <f t="shared" si="0"/>
        <v>1201.8007841674578</v>
      </c>
      <c r="D14" s="10">
        <f t="shared" si="1"/>
        <v>51.076533327116955</v>
      </c>
    </row>
    <row r="15" spans="1:9" x14ac:dyDescent="0.25">
      <c r="A15" s="33" t="s">
        <v>204</v>
      </c>
      <c r="B15" s="34">
        <v>1105</v>
      </c>
      <c r="C15" s="98">
        <f t="shared" si="0"/>
        <v>1201.8007841674578</v>
      </c>
      <c r="D15" s="10">
        <f t="shared" si="1"/>
        <v>663.99493325252035</v>
      </c>
    </row>
    <row r="16" spans="1:9" x14ac:dyDescent="0.25">
      <c r="A16" s="33" t="s">
        <v>176</v>
      </c>
      <c r="B16" s="34">
        <v>87029</v>
      </c>
      <c r="C16" s="98">
        <f t="shared" si="0"/>
        <v>1201.8007841674578</v>
      </c>
      <c r="D16" s="10">
        <f t="shared" si="1"/>
        <v>52295.760222654841</v>
      </c>
    </row>
    <row r="17" spans="1:4" x14ac:dyDescent="0.25">
      <c r="A17" s="33" t="s">
        <v>208</v>
      </c>
      <c r="B17" s="34">
        <v>57329</v>
      </c>
      <c r="C17" s="98">
        <f t="shared" si="0"/>
        <v>1201.8007841674578</v>
      </c>
      <c r="D17" s="10">
        <f t="shared" si="1"/>
        <v>34449.018577768096</v>
      </c>
    </row>
    <row r="18" spans="1:4" x14ac:dyDescent="0.25">
      <c r="A18" s="33" t="s">
        <v>189</v>
      </c>
      <c r="B18" s="34">
        <v>186496</v>
      </c>
      <c r="C18" s="98">
        <f t="shared" si="0"/>
        <v>1201.8007841674578</v>
      </c>
      <c r="D18" s="10">
        <f t="shared" si="1"/>
        <v>112065.51952204711</v>
      </c>
    </row>
    <row r="19" spans="1:4" x14ac:dyDescent="0.25">
      <c r="A19" s="33" t="s">
        <v>213</v>
      </c>
      <c r="B19" s="34">
        <v>17582</v>
      </c>
      <c r="C19" s="98">
        <f t="shared" si="0"/>
        <v>1201.8007841674578</v>
      </c>
      <c r="D19" s="10">
        <f t="shared" si="1"/>
        <v>10565.030693616121</v>
      </c>
    </row>
    <row r="20" spans="1:4" x14ac:dyDescent="0.25">
      <c r="A20" s="33" t="s">
        <v>214</v>
      </c>
      <c r="B20" s="34">
        <v>46240</v>
      </c>
      <c r="C20" s="98">
        <f t="shared" si="0"/>
        <v>1201.8007841674578</v>
      </c>
      <c r="D20" s="10">
        <f t="shared" si="1"/>
        <v>27785.634129951621</v>
      </c>
    </row>
    <row r="21" spans="1:4" x14ac:dyDescent="0.25">
      <c r="A21" s="33" t="s">
        <v>177</v>
      </c>
      <c r="B21" s="34">
        <v>927668</v>
      </c>
      <c r="C21" s="98">
        <f t="shared" si="0"/>
        <v>1201.8007841674578</v>
      </c>
      <c r="D21" s="10">
        <f t="shared" si="1"/>
        <v>557436.06492352858</v>
      </c>
    </row>
    <row r="22" spans="1:4" x14ac:dyDescent="0.25">
      <c r="A22" s="33" t="s">
        <v>215</v>
      </c>
      <c r="B22" s="34">
        <v>79114</v>
      </c>
      <c r="C22" s="98">
        <f t="shared" si="0"/>
        <v>1201.8007841674578</v>
      </c>
      <c r="D22" s="10">
        <f t="shared" si="1"/>
        <v>47539.633619312131</v>
      </c>
    </row>
    <row r="23" spans="1:4" x14ac:dyDescent="0.25">
      <c r="A23" s="33" t="s">
        <v>216</v>
      </c>
      <c r="B23" s="34">
        <v>153200</v>
      </c>
      <c r="C23" s="98">
        <f t="shared" si="0"/>
        <v>1201.8007841674578</v>
      </c>
      <c r="D23" s="10">
        <f t="shared" si="1"/>
        <v>92057.94006722726</v>
      </c>
    </row>
    <row r="24" spans="1:4" x14ac:dyDescent="0.25">
      <c r="A24" s="33" t="s">
        <v>217</v>
      </c>
      <c r="B24" s="34">
        <v>25400</v>
      </c>
      <c r="C24" s="98">
        <f t="shared" si="0"/>
        <v>1201.8007841674578</v>
      </c>
      <c r="D24" s="10">
        <f t="shared" si="1"/>
        <v>15262.869958926713</v>
      </c>
    </row>
    <row r="25" spans="1:4" x14ac:dyDescent="0.25">
      <c r="A25" s="33" t="s">
        <v>179</v>
      </c>
      <c r="B25" s="34">
        <v>299493</v>
      </c>
      <c r="C25" s="98">
        <f t="shared" si="0"/>
        <v>1201.8007841674578</v>
      </c>
      <c r="D25" s="10">
        <f t="shared" si="1"/>
        <v>179965.46112633223</v>
      </c>
    </row>
    <row r="26" spans="1:4" x14ac:dyDescent="0.25">
      <c r="A26" s="33" t="s">
        <v>221</v>
      </c>
      <c r="B26" s="34">
        <v>1711</v>
      </c>
      <c r="C26" s="98">
        <f t="shared" si="0"/>
        <v>1201.8007841674578</v>
      </c>
      <c r="D26" s="10">
        <f t="shared" si="1"/>
        <v>1028.1405708552602</v>
      </c>
    </row>
    <row r="27" spans="1:4" x14ac:dyDescent="0.25">
      <c r="A27" s="33" t="s">
        <v>223</v>
      </c>
      <c r="B27" s="34">
        <v>94235</v>
      </c>
      <c r="C27" s="98">
        <f t="shared" si="0"/>
        <v>1201.8007841674578</v>
      </c>
      <c r="D27" s="10">
        <f t="shared" si="1"/>
        <v>56625.848448010191</v>
      </c>
    </row>
    <row r="28" spans="1:4" x14ac:dyDescent="0.25">
      <c r="A28" s="33" t="s">
        <v>224</v>
      </c>
      <c r="B28" s="34">
        <v>93400</v>
      </c>
      <c r="C28" s="98">
        <f t="shared" si="0"/>
        <v>1201.8007841674578</v>
      </c>
      <c r="D28" s="10">
        <f t="shared" si="1"/>
        <v>56124.096620620279</v>
      </c>
    </row>
    <row r="29" spans="1:4" x14ac:dyDescent="0.25">
      <c r="A29" s="33" t="s">
        <v>225</v>
      </c>
      <c r="B29" s="34">
        <v>18589</v>
      </c>
      <c r="C29" s="98">
        <f t="shared" si="0"/>
        <v>1201.8007841674578</v>
      </c>
      <c r="D29" s="10">
        <f t="shared" si="1"/>
        <v>11170.137388444437</v>
      </c>
    </row>
    <row r="30" spans="1:4" x14ac:dyDescent="0.25">
      <c r="A30" s="33" t="s">
        <v>226</v>
      </c>
      <c r="B30" s="34">
        <v>56689</v>
      </c>
      <c r="C30" s="98">
        <f t="shared" si="0"/>
        <v>1201.8007841674578</v>
      </c>
      <c r="D30" s="10">
        <f t="shared" si="1"/>
        <v>34064.442326834505</v>
      </c>
    </row>
    <row r="31" spans="1:4" x14ac:dyDescent="0.25">
      <c r="A31" s="33" t="s">
        <v>227</v>
      </c>
      <c r="B31" s="34">
        <v>32287</v>
      </c>
      <c r="C31" s="98">
        <f t="shared" si="0"/>
        <v>1201.8007841674578</v>
      </c>
      <c r="D31" s="10">
        <f t="shared" si="1"/>
        <v>19401.270959207355</v>
      </c>
    </row>
    <row r="32" spans="1:4" x14ac:dyDescent="0.25">
      <c r="A32" s="33" t="s">
        <v>228</v>
      </c>
      <c r="B32" s="34">
        <v>950</v>
      </c>
      <c r="C32" s="98">
        <f t="shared" si="0"/>
        <v>1201.8007841674578</v>
      </c>
      <c r="D32" s="10">
        <f t="shared" si="1"/>
        <v>570.85537247954244</v>
      </c>
    </row>
    <row r="33" spans="1:4" x14ac:dyDescent="0.25">
      <c r="A33" s="33" t="s">
        <v>229</v>
      </c>
      <c r="B33" s="34">
        <v>1600</v>
      </c>
      <c r="C33" s="98">
        <f t="shared" si="0"/>
        <v>1201.8007841674578</v>
      </c>
      <c r="D33" s="10">
        <f t="shared" si="1"/>
        <v>961.44062733396618</v>
      </c>
    </row>
    <row r="34" spans="1:4" x14ac:dyDescent="0.25">
      <c r="A34" s="33" t="s">
        <v>230</v>
      </c>
      <c r="B34" s="34">
        <v>297538</v>
      </c>
      <c r="C34" s="98">
        <f t="shared" si="0"/>
        <v>1201.8007841674578</v>
      </c>
      <c r="D34" s="10">
        <f t="shared" si="1"/>
        <v>178790.70085980854</v>
      </c>
    </row>
    <row r="35" spans="1:4" x14ac:dyDescent="0.25">
      <c r="A35" s="33" t="s">
        <v>231</v>
      </c>
      <c r="B35" s="34">
        <v>42710</v>
      </c>
      <c r="C35" s="98">
        <f t="shared" si="0"/>
        <v>1201.8007841674578</v>
      </c>
      <c r="D35" s="10">
        <f t="shared" si="1"/>
        <v>25664.455745896059</v>
      </c>
    </row>
    <row r="36" spans="1:4" x14ac:dyDescent="0.25">
      <c r="A36" s="33" t="s">
        <v>232</v>
      </c>
      <c r="B36" s="34">
        <v>60463</v>
      </c>
      <c r="C36" s="98">
        <f t="shared" si="0"/>
        <v>1201.8007841674578</v>
      </c>
      <c r="D36" s="10">
        <f t="shared" si="1"/>
        <v>36332.2404065585</v>
      </c>
    </row>
    <row r="37" spans="1:4" x14ac:dyDescent="0.25">
      <c r="A37" s="33" t="s">
        <v>235</v>
      </c>
      <c r="B37" s="34">
        <v>22050</v>
      </c>
      <c r="C37" s="98">
        <f t="shared" si="0"/>
        <v>1201.8007841674578</v>
      </c>
      <c r="D37" s="10">
        <f t="shared" si="1"/>
        <v>13249.853645446223</v>
      </c>
    </row>
    <row r="38" spans="1:4" x14ac:dyDescent="0.25">
      <c r="A38" s="33" t="s">
        <v>236</v>
      </c>
      <c r="B38" s="34">
        <v>79600</v>
      </c>
      <c r="C38" s="98">
        <f t="shared" si="0"/>
        <v>1201.8007841674578</v>
      </c>
      <c r="D38" s="10">
        <f t="shared" si="1"/>
        <v>47831.67120986482</v>
      </c>
    </row>
    <row r="39" spans="1:4" x14ac:dyDescent="0.25">
      <c r="A39" s="33" t="s">
        <v>238</v>
      </c>
      <c r="B39" s="34">
        <v>139856</v>
      </c>
      <c r="C39" s="98">
        <f t="shared" si="0"/>
        <v>1201.8007841674578</v>
      </c>
      <c r="D39" s="10">
        <f t="shared" si="1"/>
        <v>84039.525235261986</v>
      </c>
    </row>
    <row r="40" spans="1:4" x14ac:dyDescent="0.25">
      <c r="A40" s="33" t="s">
        <v>239</v>
      </c>
      <c r="B40" s="34">
        <v>67050</v>
      </c>
      <c r="C40" s="98">
        <f t="shared" si="0"/>
        <v>1201.8007841674578</v>
      </c>
      <c r="D40" s="10">
        <f t="shared" si="1"/>
        <v>40290.371289214025</v>
      </c>
    </row>
    <row r="41" spans="1:4" x14ac:dyDescent="0.25">
      <c r="A41" s="33" t="s">
        <v>240</v>
      </c>
      <c r="B41" s="34">
        <v>1425</v>
      </c>
      <c r="C41" s="98">
        <f t="shared" si="0"/>
        <v>1201.8007841674578</v>
      </c>
      <c r="D41" s="10">
        <f t="shared" si="1"/>
        <v>856.28305871931366</v>
      </c>
    </row>
    <row r="42" spans="1:4" x14ac:dyDescent="0.25">
      <c r="A42" s="33" t="s">
        <v>243</v>
      </c>
      <c r="B42" s="34">
        <v>16400</v>
      </c>
      <c r="C42" s="98">
        <f t="shared" si="0"/>
        <v>1201.8007841674578</v>
      </c>
      <c r="D42" s="10">
        <f t="shared" si="1"/>
        <v>9854.7664301731529</v>
      </c>
    </row>
    <row r="43" spans="1:4" x14ac:dyDescent="0.25">
      <c r="A43" s="33" t="s">
        <v>244</v>
      </c>
      <c r="B43" s="34">
        <v>2538</v>
      </c>
      <c r="C43" s="98">
        <f t="shared" si="0"/>
        <v>1201.8007841674578</v>
      </c>
      <c r="D43" s="10">
        <f t="shared" si="1"/>
        <v>1525.085195108504</v>
      </c>
    </row>
    <row r="44" spans="1:4" x14ac:dyDescent="0.25">
      <c r="A44" s="33" t="s">
        <v>180</v>
      </c>
      <c r="B44" s="34">
        <v>744517</v>
      </c>
      <c r="C44" s="98">
        <f t="shared" si="0"/>
        <v>1201.8007841674578</v>
      </c>
      <c r="D44" s="10">
        <f t="shared" si="1"/>
        <v>447380.55721300159</v>
      </c>
    </row>
    <row r="45" spans="1:4" x14ac:dyDescent="0.25">
      <c r="A45" s="33" t="s">
        <v>245</v>
      </c>
      <c r="B45" s="34">
        <v>521</v>
      </c>
      <c r="C45" s="98">
        <f t="shared" si="0"/>
        <v>1201.8007841674578</v>
      </c>
      <c r="D45" s="10">
        <f t="shared" si="1"/>
        <v>313.06910427562275</v>
      </c>
    </row>
    <row r="46" spans="1:4" x14ac:dyDescent="0.25">
      <c r="A46" s="33" t="s">
        <v>249</v>
      </c>
      <c r="B46" s="34">
        <v>2096</v>
      </c>
      <c r="C46" s="98">
        <f t="shared" si="0"/>
        <v>1201.8007841674578</v>
      </c>
      <c r="D46" s="10">
        <f t="shared" si="1"/>
        <v>1259.4872218074956</v>
      </c>
    </row>
    <row r="47" spans="1:4" x14ac:dyDescent="0.25">
      <c r="A47" s="33" t="s">
        <v>251</v>
      </c>
      <c r="B47" s="34">
        <v>6276</v>
      </c>
      <c r="C47" s="98">
        <f t="shared" si="0"/>
        <v>1201.8007841674578</v>
      </c>
      <c r="D47" s="10">
        <f t="shared" si="1"/>
        <v>3771.2508607174823</v>
      </c>
    </row>
    <row r="48" spans="1:4" x14ac:dyDescent="0.25">
      <c r="A48" s="33" t="s">
        <v>252</v>
      </c>
      <c r="B48" s="34">
        <v>12808</v>
      </c>
      <c r="C48" s="98">
        <f t="shared" si="0"/>
        <v>1201.8007841674578</v>
      </c>
      <c r="D48" s="10">
        <f t="shared" si="1"/>
        <v>7696.3322218084004</v>
      </c>
    </row>
    <row r="49" spans="1:4" x14ac:dyDescent="0.25">
      <c r="A49" s="33" t="s">
        <v>253</v>
      </c>
      <c r="B49" s="34">
        <v>10803</v>
      </c>
      <c r="C49" s="98">
        <f t="shared" si="0"/>
        <v>1201.8007841674578</v>
      </c>
      <c r="D49" s="10">
        <f t="shared" si="1"/>
        <v>6491.5269356805238</v>
      </c>
    </row>
    <row r="50" spans="1:4" x14ac:dyDescent="0.25">
      <c r="A50" s="33" t="s">
        <v>254</v>
      </c>
      <c r="B50" s="34">
        <v>4694</v>
      </c>
      <c r="C50" s="98">
        <f t="shared" si="0"/>
        <v>1201.8007841674578</v>
      </c>
      <c r="D50" s="10">
        <f t="shared" si="1"/>
        <v>2820.6264404410235</v>
      </c>
    </row>
    <row r="51" spans="1:4" x14ac:dyDescent="0.25">
      <c r="A51" s="33" t="s">
        <v>255</v>
      </c>
      <c r="B51" s="34">
        <v>170767</v>
      </c>
      <c r="C51" s="98">
        <f t="shared" si="0"/>
        <v>1201.8007841674578</v>
      </c>
      <c r="D51" s="10">
        <f t="shared" si="1"/>
        <v>102613.95725496214</v>
      </c>
    </row>
    <row r="52" spans="1:4" x14ac:dyDescent="0.25">
      <c r="A52" s="33" t="s">
        <v>256</v>
      </c>
      <c r="B52" s="34">
        <v>5580</v>
      </c>
      <c r="C52" s="98">
        <f t="shared" si="0"/>
        <v>1201.8007841674578</v>
      </c>
      <c r="D52" s="10">
        <f t="shared" si="1"/>
        <v>3353.0241878272072</v>
      </c>
    </row>
    <row r="53" spans="1:4" x14ac:dyDescent="0.25">
      <c r="A53" s="33" t="s">
        <v>257</v>
      </c>
      <c r="B53" s="34">
        <v>207443</v>
      </c>
      <c r="C53" s="98">
        <f t="shared" si="0"/>
        <v>1201.8007841674578</v>
      </c>
      <c r="D53" s="10">
        <f t="shared" si="1"/>
        <v>124652.58003502498</v>
      </c>
    </row>
    <row r="54" spans="1:4" x14ac:dyDescent="0.25">
      <c r="A54" s="33" t="s">
        <v>258</v>
      </c>
      <c r="B54" s="34">
        <v>7857</v>
      </c>
      <c r="C54" s="98">
        <f t="shared" si="0"/>
        <v>1201.8007841674578</v>
      </c>
      <c r="D54" s="10">
        <f t="shared" si="1"/>
        <v>4721.274380601858</v>
      </c>
    </row>
    <row r="55" spans="1:4" x14ac:dyDescent="0.25">
      <c r="A55" s="33" t="s">
        <v>260</v>
      </c>
      <c r="B55" s="34">
        <v>21000</v>
      </c>
      <c r="C55" s="98">
        <f t="shared" si="0"/>
        <v>1201.8007841674578</v>
      </c>
      <c r="D55" s="10">
        <f t="shared" si="1"/>
        <v>12618.908233758306</v>
      </c>
    </row>
    <row r="56" spans="1:4" x14ac:dyDescent="0.25">
      <c r="A56" s="33" t="s">
        <v>261</v>
      </c>
      <c r="B56" s="34">
        <v>315978</v>
      </c>
      <c r="C56" s="98">
        <f t="shared" si="0"/>
        <v>1201.8007841674578</v>
      </c>
      <c r="D56" s="10">
        <f t="shared" si="1"/>
        <v>189871.3040898325</v>
      </c>
    </row>
    <row r="57" spans="1:4" x14ac:dyDescent="0.25">
      <c r="A57" s="33" t="s">
        <v>183</v>
      </c>
      <c r="B57" s="34">
        <v>287187</v>
      </c>
      <c r="C57" s="98">
        <f t="shared" si="0"/>
        <v>1201.8007841674578</v>
      </c>
      <c r="D57" s="10">
        <f t="shared" si="1"/>
        <v>172570.78090134985</v>
      </c>
    </row>
    <row r="58" spans="1:4" x14ac:dyDescent="0.25">
      <c r="A58" s="33" t="s">
        <v>262</v>
      </c>
      <c r="B58" s="34">
        <v>61832</v>
      </c>
      <c r="C58" s="98">
        <f t="shared" si="0"/>
        <v>1201.8007841674578</v>
      </c>
      <c r="D58" s="10">
        <f t="shared" si="1"/>
        <v>37154.873043321124</v>
      </c>
    </row>
    <row r="59" spans="1:4" x14ac:dyDescent="0.25">
      <c r="A59" s="33" t="s">
        <v>263</v>
      </c>
      <c r="B59" s="34">
        <v>18791</v>
      </c>
      <c r="C59" s="98">
        <f t="shared" si="0"/>
        <v>1201.8007841674578</v>
      </c>
      <c r="D59" s="10">
        <f t="shared" si="1"/>
        <v>11291.51926764535</v>
      </c>
    </row>
    <row r="60" spans="1:4" x14ac:dyDescent="0.25">
      <c r="A60" s="33" t="s">
        <v>264</v>
      </c>
      <c r="B60" s="34">
        <v>181241</v>
      </c>
      <c r="C60" s="98">
        <f t="shared" si="0"/>
        <v>1201.8007841674578</v>
      </c>
      <c r="D60" s="10">
        <f t="shared" si="1"/>
        <v>108907.7879616471</v>
      </c>
    </row>
    <row r="61" spans="1:4" x14ac:dyDescent="0.25">
      <c r="A61" s="33" t="s">
        <v>265</v>
      </c>
      <c r="B61" s="34">
        <v>1171</v>
      </c>
      <c r="C61" s="98">
        <f t="shared" si="0"/>
        <v>1201.8007841674578</v>
      </c>
      <c r="D61" s="10">
        <f t="shared" si="1"/>
        <v>703.6543591300466</v>
      </c>
    </row>
    <row r="62" spans="1:4" x14ac:dyDescent="0.25">
      <c r="A62" s="33" t="s">
        <v>266</v>
      </c>
      <c r="B62" s="34">
        <v>4925</v>
      </c>
      <c r="C62" s="98">
        <f t="shared" si="0"/>
        <v>1201.8007841674578</v>
      </c>
      <c r="D62" s="10">
        <f t="shared" si="1"/>
        <v>2959.4344310123647</v>
      </c>
    </row>
    <row r="63" spans="1:4" x14ac:dyDescent="0.25">
      <c r="A63" s="33" t="s">
        <v>267</v>
      </c>
      <c r="B63" s="34">
        <v>3300</v>
      </c>
      <c r="C63" s="98">
        <f t="shared" si="0"/>
        <v>1201.8007841674578</v>
      </c>
      <c r="D63" s="10">
        <f t="shared" si="1"/>
        <v>1982.9712938763053</v>
      </c>
    </row>
    <row r="64" spans="1:4" x14ac:dyDescent="0.25">
      <c r="A64" s="33" t="s">
        <v>184</v>
      </c>
      <c r="B64" s="34">
        <v>132332</v>
      </c>
      <c r="C64" s="98">
        <f t="shared" si="0"/>
        <v>1201.8007841674578</v>
      </c>
      <c r="D64" s="10">
        <f t="shared" si="1"/>
        <v>79518.35068522401</v>
      </c>
    </row>
    <row r="65" spans="1:4" x14ac:dyDescent="0.25">
      <c r="A65" s="33" t="s">
        <v>268</v>
      </c>
      <c r="B65" s="34">
        <v>934094</v>
      </c>
      <c r="C65" s="98">
        <f t="shared" si="0"/>
        <v>1201.8007841674578</v>
      </c>
      <c r="D65" s="10">
        <f t="shared" si="1"/>
        <v>561297.45084305876</v>
      </c>
    </row>
    <row r="66" spans="1:4" x14ac:dyDescent="0.25">
      <c r="A66" s="33" t="s">
        <v>185</v>
      </c>
      <c r="B66" s="34">
        <v>700864</v>
      </c>
      <c r="C66" s="98">
        <f t="shared" si="0"/>
        <v>1201.8007841674578</v>
      </c>
      <c r="D66" s="10">
        <f t="shared" si="1"/>
        <v>421149.45239737059</v>
      </c>
    </row>
    <row r="67" spans="1:4" x14ac:dyDescent="0.25">
      <c r="A67" s="33" t="s">
        <v>269</v>
      </c>
      <c r="B67" s="34">
        <v>13296.48</v>
      </c>
      <c r="C67" s="98">
        <f t="shared" si="0"/>
        <v>1201.8007841674578</v>
      </c>
      <c r="D67" s="10">
        <f t="shared" si="1"/>
        <v>7989.8600453334593</v>
      </c>
    </row>
    <row r="68" spans="1:4" x14ac:dyDescent="0.25">
      <c r="A68" s="33" t="s">
        <v>270</v>
      </c>
      <c r="B68" s="34">
        <v>16272</v>
      </c>
      <c r="C68" s="98">
        <f t="shared" si="0"/>
        <v>1201.8007841674578</v>
      </c>
      <c r="D68" s="10">
        <f t="shared" si="1"/>
        <v>9777.8511799864355</v>
      </c>
    </row>
    <row r="69" spans="1:4" x14ac:dyDescent="0.25">
      <c r="A69" s="33" t="s">
        <v>271</v>
      </c>
      <c r="B69" s="34">
        <v>80</v>
      </c>
      <c r="C69" s="98">
        <f t="shared" ref="C69:C132" si="2">IF(B69&lt;&gt;0,$H$1,"")</f>
        <v>1201.8007841674578</v>
      </c>
      <c r="D69" s="10">
        <f t="shared" ref="D69:D132" si="3">(+B69*C69)/2000</f>
        <v>48.072031366698312</v>
      </c>
    </row>
    <row r="70" spans="1:4" x14ac:dyDescent="0.25">
      <c r="A70" s="33" t="s">
        <v>272</v>
      </c>
      <c r="B70" s="34">
        <v>72772</v>
      </c>
      <c r="C70" s="98">
        <f t="shared" si="2"/>
        <v>1201.8007841674578</v>
      </c>
      <c r="D70" s="10">
        <f t="shared" si="3"/>
        <v>43728.72333271712</v>
      </c>
    </row>
    <row r="71" spans="1:4" x14ac:dyDescent="0.25">
      <c r="A71" s="33" t="s">
        <v>273</v>
      </c>
      <c r="B71" s="34">
        <v>10850</v>
      </c>
      <c r="C71" s="98">
        <f t="shared" si="2"/>
        <v>1201.8007841674578</v>
      </c>
      <c r="D71" s="10">
        <f t="shared" si="3"/>
        <v>6519.7692541084589</v>
      </c>
    </row>
    <row r="72" spans="1:4" x14ac:dyDescent="0.25">
      <c r="A72" s="33" t="s">
        <v>274</v>
      </c>
      <c r="B72" s="34">
        <v>106896</v>
      </c>
      <c r="C72" s="98">
        <f t="shared" si="2"/>
        <v>1201.8007841674578</v>
      </c>
      <c r="D72" s="10">
        <f t="shared" si="3"/>
        <v>64233.848312182286</v>
      </c>
    </row>
    <row r="73" spans="1:4" x14ac:dyDescent="0.25">
      <c r="A73" s="33" t="s">
        <v>186</v>
      </c>
      <c r="B73" s="34">
        <v>81554</v>
      </c>
      <c r="C73" s="98">
        <f t="shared" si="2"/>
        <v>1201.8007841674578</v>
      </c>
      <c r="D73" s="10">
        <f t="shared" si="3"/>
        <v>49005.830575996428</v>
      </c>
    </row>
    <row r="74" spans="1:4" x14ac:dyDescent="0.25">
      <c r="A74" s="33" t="s">
        <v>276</v>
      </c>
      <c r="B74" s="34">
        <v>11082</v>
      </c>
      <c r="C74" s="98">
        <f t="shared" si="2"/>
        <v>1201.8007841674578</v>
      </c>
      <c r="D74" s="10">
        <f t="shared" si="3"/>
        <v>6659.1781450718836</v>
      </c>
    </row>
    <row r="75" spans="1:4" x14ac:dyDescent="0.25">
      <c r="A75" s="33" t="s">
        <v>277</v>
      </c>
      <c r="B75" s="34">
        <v>658</v>
      </c>
      <c r="C75" s="98">
        <f t="shared" si="2"/>
        <v>1201.8007841674578</v>
      </c>
      <c r="D75" s="10">
        <f t="shared" si="3"/>
        <v>395.39245799109364</v>
      </c>
    </row>
    <row r="76" spans="1:4" x14ac:dyDescent="0.25">
      <c r="A76" s="33" t="s">
        <v>279</v>
      </c>
      <c r="B76" s="34">
        <v>13880</v>
      </c>
      <c r="C76" s="98">
        <f t="shared" si="2"/>
        <v>1201.8007841674578</v>
      </c>
      <c r="D76" s="10">
        <f t="shared" si="3"/>
        <v>8340.4974421221559</v>
      </c>
    </row>
    <row r="77" spans="1:4" x14ac:dyDescent="0.25">
      <c r="A77" s="33" t="s">
        <v>188</v>
      </c>
      <c r="B77" s="34">
        <v>1681755</v>
      </c>
      <c r="C77" s="98">
        <f t="shared" si="2"/>
        <v>1201.8007841674578</v>
      </c>
      <c r="D77" s="10">
        <f t="shared" si="3"/>
        <v>1010567.2388887715</v>
      </c>
    </row>
    <row r="78" spans="1:4" x14ac:dyDescent="0.25">
      <c r="A78" s="33" t="s">
        <v>280</v>
      </c>
      <c r="B78" s="34">
        <v>9169</v>
      </c>
      <c r="C78" s="98">
        <f t="shared" si="2"/>
        <v>1201.8007841674578</v>
      </c>
      <c r="D78" s="10">
        <f t="shared" si="3"/>
        <v>5509.6556950157101</v>
      </c>
    </row>
    <row r="79" spans="1:4" x14ac:dyDescent="0.25">
      <c r="A79" s="33" t="s">
        <v>282</v>
      </c>
      <c r="B79" s="34">
        <v>5615</v>
      </c>
      <c r="C79" s="98">
        <f t="shared" si="2"/>
        <v>1201.8007841674578</v>
      </c>
      <c r="D79" s="10">
        <f t="shared" si="3"/>
        <v>3374.0557015501377</v>
      </c>
    </row>
    <row r="80" spans="1:4" x14ac:dyDescent="0.25">
      <c r="A80" s="33" t="s">
        <v>284</v>
      </c>
      <c r="B80" s="34">
        <v>8922</v>
      </c>
      <c r="C80" s="98">
        <f t="shared" si="2"/>
        <v>1201.8007841674578</v>
      </c>
      <c r="D80" s="10">
        <f t="shared" si="3"/>
        <v>5361.2332981710297</v>
      </c>
    </row>
    <row r="81" spans="1:4" x14ac:dyDescent="0.25">
      <c r="A81" s="33" t="s">
        <v>285</v>
      </c>
      <c r="B81" s="34">
        <v>20016</v>
      </c>
      <c r="C81" s="98">
        <f t="shared" si="2"/>
        <v>1201.8007841674578</v>
      </c>
      <c r="D81" s="10">
        <f t="shared" si="3"/>
        <v>12027.622247947918</v>
      </c>
    </row>
    <row r="82" spans="1:4" x14ac:dyDescent="0.25">
      <c r="A82" s="33" t="s">
        <v>287</v>
      </c>
      <c r="B82" s="34">
        <v>171</v>
      </c>
      <c r="C82" s="98">
        <f t="shared" si="2"/>
        <v>1201.8007841674578</v>
      </c>
      <c r="D82" s="10">
        <f t="shared" si="3"/>
        <v>102.75396704631764</v>
      </c>
    </row>
    <row r="83" spans="1:4" x14ac:dyDescent="0.25">
      <c r="A83" s="33" t="s">
        <v>289</v>
      </c>
      <c r="B83" s="34">
        <v>90</v>
      </c>
      <c r="C83" s="98">
        <f t="shared" si="2"/>
        <v>1201.8007841674578</v>
      </c>
      <c r="D83" s="10">
        <f t="shared" si="3"/>
        <v>54.081035287535599</v>
      </c>
    </row>
    <row r="84" spans="1:4" x14ac:dyDescent="0.25">
      <c r="A84" s="33" t="s">
        <v>172</v>
      </c>
      <c r="B84" s="34">
        <v>31945</v>
      </c>
      <c r="C84" s="98">
        <f t="shared" si="2"/>
        <v>1201.8007841674578</v>
      </c>
      <c r="D84" s="10">
        <f t="shared" si="3"/>
        <v>19195.76302511472</v>
      </c>
    </row>
    <row r="85" spans="1:4" x14ac:dyDescent="0.25">
      <c r="A85" s="33" t="s">
        <v>174</v>
      </c>
      <c r="B85" s="34">
        <v>2245</v>
      </c>
      <c r="C85" s="98">
        <f t="shared" si="2"/>
        <v>1201.8007841674578</v>
      </c>
      <c r="D85" s="10">
        <f t="shared" si="3"/>
        <v>1349.0213802279713</v>
      </c>
    </row>
    <row r="86" spans="1:4" x14ac:dyDescent="0.25">
      <c r="A86" s="33" t="s">
        <v>175</v>
      </c>
      <c r="B86" s="34">
        <v>82864</v>
      </c>
      <c r="C86" s="98">
        <f t="shared" si="2"/>
        <v>1201.8007841674578</v>
      </c>
      <c r="D86" s="10">
        <f t="shared" si="3"/>
        <v>49793.010089626114</v>
      </c>
    </row>
    <row r="87" spans="1:4" x14ac:dyDescent="0.25">
      <c r="A87" s="33" t="s">
        <v>176</v>
      </c>
      <c r="B87" s="34">
        <v>28800</v>
      </c>
      <c r="C87" s="98">
        <f t="shared" si="2"/>
        <v>1201.8007841674578</v>
      </c>
      <c r="D87" s="10">
        <f t="shared" si="3"/>
        <v>17305.931292011392</v>
      </c>
    </row>
    <row r="88" spans="1:4" x14ac:dyDescent="0.25">
      <c r="A88" s="33" t="s">
        <v>178</v>
      </c>
      <c r="B88" s="34">
        <v>24866</v>
      </c>
      <c r="C88" s="98">
        <f t="shared" si="2"/>
        <v>1201.8007841674578</v>
      </c>
      <c r="D88" s="10">
        <f t="shared" si="3"/>
        <v>14941.989149554003</v>
      </c>
    </row>
    <row r="89" spans="1:4" x14ac:dyDescent="0.25">
      <c r="A89" s="33" t="s">
        <v>179</v>
      </c>
      <c r="B89" s="34">
        <v>122</v>
      </c>
      <c r="C89" s="98">
        <f t="shared" si="2"/>
        <v>1201.8007841674578</v>
      </c>
      <c r="D89" s="10">
        <f t="shared" si="3"/>
        <v>73.309847834214921</v>
      </c>
    </row>
    <row r="90" spans="1:4" x14ac:dyDescent="0.25">
      <c r="A90" s="33" t="s">
        <v>181</v>
      </c>
      <c r="B90" s="34">
        <v>412900</v>
      </c>
      <c r="C90" s="98">
        <f t="shared" si="2"/>
        <v>1201.8007841674578</v>
      </c>
      <c r="D90" s="10">
        <f t="shared" si="3"/>
        <v>248111.77189137167</v>
      </c>
    </row>
    <row r="91" spans="1:4" x14ac:dyDescent="0.25">
      <c r="A91" s="33" t="s">
        <v>182</v>
      </c>
      <c r="B91" s="34">
        <v>483866</v>
      </c>
      <c r="C91" s="98">
        <f t="shared" si="2"/>
        <v>1201.8007841674578</v>
      </c>
      <c r="D91" s="10">
        <f t="shared" si="3"/>
        <v>290755.26911598555</v>
      </c>
    </row>
    <row r="92" spans="1:4" x14ac:dyDescent="0.25">
      <c r="A92" s="33" t="s">
        <v>185</v>
      </c>
      <c r="B92" s="34">
        <v>28832</v>
      </c>
      <c r="C92" s="98">
        <f t="shared" si="2"/>
        <v>1201.8007841674578</v>
      </c>
      <c r="D92" s="10">
        <f t="shared" si="3"/>
        <v>17325.160104558072</v>
      </c>
    </row>
    <row r="93" spans="1:4" x14ac:dyDescent="0.25">
      <c r="A93" s="33" t="s">
        <v>186</v>
      </c>
      <c r="B93" s="34">
        <v>30800</v>
      </c>
      <c r="C93" s="98">
        <f t="shared" si="2"/>
        <v>1201.8007841674578</v>
      </c>
      <c r="D93" s="10">
        <f t="shared" si="3"/>
        <v>18507.732076178851</v>
      </c>
    </row>
    <row r="94" spans="1:4" x14ac:dyDescent="0.25">
      <c r="A94" s="33" t="s">
        <v>188</v>
      </c>
      <c r="B94" s="34">
        <v>602125</v>
      </c>
      <c r="C94" s="98">
        <f t="shared" si="2"/>
        <v>1201.8007841674578</v>
      </c>
      <c r="D94" s="10">
        <f t="shared" si="3"/>
        <v>361817.14858341526</v>
      </c>
    </row>
    <row r="95" spans="1:4" x14ac:dyDescent="0.25">
      <c r="A95" s="33" t="s">
        <v>172</v>
      </c>
      <c r="B95" s="34">
        <v>-32120</v>
      </c>
      <c r="C95" s="98">
        <f t="shared" si="2"/>
        <v>1201.8007841674578</v>
      </c>
      <c r="D95" s="10">
        <f t="shared" si="3"/>
        <v>-19300.920593729374</v>
      </c>
    </row>
    <row r="96" spans="1:4" x14ac:dyDescent="0.25">
      <c r="A96" s="33" t="s">
        <v>174</v>
      </c>
      <c r="B96" s="34">
        <v>-2959</v>
      </c>
      <c r="C96" s="98">
        <f t="shared" si="2"/>
        <v>1201.8007841674578</v>
      </c>
      <c r="D96" s="10">
        <f t="shared" si="3"/>
        <v>-1778.0642601757538</v>
      </c>
    </row>
    <row r="97" spans="1:4" x14ac:dyDescent="0.25">
      <c r="A97" s="33" t="s">
        <v>175</v>
      </c>
      <c r="B97" s="34">
        <v>-83521</v>
      </c>
      <c r="C97" s="98">
        <f t="shared" si="2"/>
        <v>1201.8007841674578</v>
      </c>
      <c r="D97" s="10">
        <f t="shared" si="3"/>
        <v>-50187.801647225118</v>
      </c>
    </row>
    <row r="98" spans="1:4" x14ac:dyDescent="0.25">
      <c r="A98" s="33" t="s">
        <v>176</v>
      </c>
      <c r="B98" s="34">
        <v>-28800</v>
      </c>
      <c r="C98" s="98">
        <f t="shared" si="2"/>
        <v>1201.8007841674578</v>
      </c>
      <c r="D98" s="10">
        <f t="shared" si="3"/>
        <v>-17305.931292011392</v>
      </c>
    </row>
    <row r="99" spans="1:4" x14ac:dyDescent="0.25">
      <c r="A99" s="33" t="s">
        <v>189</v>
      </c>
      <c r="B99" s="34">
        <v>-50000</v>
      </c>
      <c r="C99" s="98">
        <f t="shared" si="2"/>
        <v>1201.8007841674578</v>
      </c>
      <c r="D99" s="10">
        <f t="shared" si="3"/>
        <v>-30045.019604186444</v>
      </c>
    </row>
    <row r="100" spans="1:4" x14ac:dyDescent="0.25">
      <c r="A100" s="33" t="s">
        <v>179</v>
      </c>
      <c r="B100" s="34">
        <v>-122</v>
      </c>
      <c r="C100" s="98">
        <f t="shared" si="2"/>
        <v>1201.8007841674578</v>
      </c>
      <c r="D100" s="10">
        <f t="shared" si="3"/>
        <v>-73.309847834214921</v>
      </c>
    </row>
    <row r="101" spans="1:4" x14ac:dyDescent="0.25">
      <c r="A101" s="33" t="s">
        <v>181</v>
      </c>
      <c r="B101" s="34">
        <v>-413001</v>
      </c>
      <c r="C101" s="98">
        <f t="shared" si="2"/>
        <v>1201.8007841674578</v>
      </c>
      <c r="D101" s="10">
        <f t="shared" si="3"/>
        <v>-248172.4628309721</v>
      </c>
    </row>
    <row r="102" spans="1:4" x14ac:dyDescent="0.25">
      <c r="A102" s="33" t="s">
        <v>182</v>
      </c>
      <c r="B102" s="34">
        <v>-483866</v>
      </c>
      <c r="C102" s="98">
        <f t="shared" si="2"/>
        <v>1201.8007841674578</v>
      </c>
      <c r="D102" s="10">
        <f t="shared" si="3"/>
        <v>-290755.26911598555</v>
      </c>
    </row>
    <row r="103" spans="1:4" x14ac:dyDescent="0.25">
      <c r="A103" s="33" t="s">
        <v>185</v>
      </c>
      <c r="B103" s="34">
        <v>-28832</v>
      </c>
      <c r="C103" s="98">
        <f t="shared" si="2"/>
        <v>1201.8007841674578</v>
      </c>
      <c r="D103" s="10">
        <f t="shared" si="3"/>
        <v>-17325.160104558072</v>
      </c>
    </row>
    <row r="104" spans="1:4" x14ac:dyDescent="0.25">
      <c r="A104" s="33" t="s">
        <v>186</v>
      </c>
      <c r="B104" s="34">
        <v>-30800</v>
      </c>
      <c r="C104" s="98">
        <f t="shared" si="2"/>
        <v>1201.8007841674578</v>
      </c>
      <c r="D104" s="10">
        <f t="shared" si="3"/>
        <v>-18507.732076178851</v>
      </c>
    </row>
    <row r="105" spans="1:4" x14ac:dyDescent="0.25">
      <c r="A105" s="33" t="s">
        <v>188</v>
      </c>
      <c r="B105" s="34">
        <v>-552125</v>
      </c>
      <c r="C105" s="98">
        <f t="shared" si="2"/>
        <v>1201.8007841674578</v>
      </c>
      <c r="D105" s="10">
        <f t="shared" si="3"/>
        <v>-331772.12897922879</v>
      </c>
    </row>
    <row r="106" spans="1:4" x14ac:dyDescent="0.25">
      <c r="A106" s="33" t="s">
        <v>194</v>
      </c>
      <c r="B106" s="34">
        <v>-24864</v>
      </c>
      <c r="C106" s="98">
        <f t="shared" si="2"/>
        <v>1201.8007841674578</v>
      </c>
      <c r="D106" s="10">
        <f t="shared" si="3"/>
        <v>-14940.787348769834</v>
      </c>
    </row>
    <row r="107" spans="1:4" x14ac:dyDescent="0.25">
      <c r="A107" s="33" t="s">
        <v>172</v>
      </c>
      <c r="B107" s="34">
        <v>-123747</v>
      </c>
      <c r="C107" s="98">
        <f t="shared" si="2"/>
        <v>1201.8007841674578</v>
      </c>
      <c r="D107" s="10">
        <f t="shared" si="3"/>
        <v>-74359.620819185191</v>
      </c>
    </row>
    <row r="108" spans="1:4" x14ac:dyDescent="0.25">
      <c r="A108" s="33" t="s">
        <v>195</v>
      </c>
      <c r="B108" s="34">
        <v>-78600</v>
      </c>
      <c r="C108" s="98">
        <f t="shared" si="2"/>
        <v>1201.8007841674578</v>
      </c>
      <c r="D108" s="10">
        <f t="shared" si="3"/>
        <v>-47230.770817781093</v>
      </c>
    </row>
    <row r="109" spans="1:4" x14ac:dyDescent="0.25">
      <c r="A109" s="33" t="s">
        <v>196</v>
      </c>
      <c r="B109" s="34">
        <v>-63113</v>
      </c>
      <c r="C109" s="98">
        <f t="shared" si="2"/>
        <v>1201.8007841674578</v>
      </c>
      <c r="D109" s="10">
        <f t="shared" si="3"/>
        <v>-37924.626445580376</v>
      </c>
    </row>
    <row r="110" spans="1:4" x14ac:dyDescent="0.25">
      <c r="A110" s="33" t="s">
        <v>197</v>
      </c>
      <c r="B110" s="34">
        <v>-5756</v>
      </c>
      <c r="C110" s="98">
        <f t="shared" si="2"/>
        <v>1201.8007841674578</v>
      </c>
      <c r="D110" s="10">
        <f t="shared" si="3"/>
        <v>-3458.7826568339433</v>
      </c>
    </row>
    <row r="111" spans="1:4" x14ac:dyDescent="0.25">
      <c r="A111" s="33" t="s">
        <v>198</v>
      </c>
      <c r="B111" s="34">
        <v>-4759</v>
      </c>
      <c r="C111" s="98">
        <f t="shared" si="2"/>
        <v>1201.8007841674578</v>
      </c>
      <c r="D111" s="10">
        <f t="shared" si="3"/>
        <v>-2859.6849659264658</v>
      </c>
    </row>
    <row r="112" spans="1:4" x14ac:dyDescent="0.25">
      <c r="A112" s="33" t="s">
        <v>200</v>
      </c>
      <c r="B112" s="34">
        <v>2169507</v>
      </c>
      <c r="C112" s="98">
        <f t="shared" si="2"/>
        <v>1201.8007841674578</v>
      </c>
      <c r="D112" s="10">
        <f t="shared" si="3"/>
        <v>1303657.6069283944</v>
      </c>
    </row>
    <row r="113" spans="1:4" x14ac:dyDescent="0.25">
      <c r="A113" s="33" t="s">
        <v>201</v>
      </c>
      <c r="B113" s="34">
        <v>-29896</v>
      </c>
      <c r="C113" s="98">
        <f t="shared" si="2"/>
        <v>1201.8007841674578</v>
      </c>
      <c r="D113" s="10">
        <f t="shared" si="3"/>
        <v>-17964.51812173516</v>
      </c>
    </row>
    <row r="114" spans="1:4" x14ac:dyDescent="0.25">
      <c r="A114" s="33" t="s">
        <v>175</v>
      </c>
      <c r="B114" s="34">
        <v>-166938</v>
      </c>
      <c r="C114" s="98">
        <f t="shared" si="2"/>
        <v>1201.8007841674578</v>
      </c>
      <c r="D114" s="10">
        <f t="shared" si="3"/>
        <v>-100313.10965367353</v>
      </c>
    </row>
    <row r="115" spans="1:4" x14ac:dyDescent="0.25">
      <c r="A115" s="33" t="s">
        <v>202</v>
      </c>
      <c r="B115" s="34">
        <v>-144</v>
      </c>
      <c r="C115" s="98">
        <f t="shared" si="2"/>
        <v>1201.8007841674578</v>
      </c>
      <c r="D115" s="10">
        <f t="shared" si="3"/>
        <v>-86.529656460056955</v>
      </c>
    </row>
    <row r="116" spans="1:4" x14ac:dyDescent="0.25">
      <c r="A116" s="33" t="s">
        <v>204</v>
      </c>
      <c r="B116" s="34">
        <v>-990</v>
      </c>
      <c r="C116" s="98">
        <f t="shared" si="2"/>
        <v>1201.8007841674578</v>
      </c>
      <c r="D116" s="10">
        <f t="shared" si="3"/>
        <v>-594.89138816289164</v>
      </c>
    </row>
    <row r="117" spans="1:4" x14ac:dyDescent="0.25">
      <c r="A117" s="33" t="s">
        <v>176</v>
      </c>
      <c r="B117" s="34">
        <v>-103403</v>
      </c>
      <c r="C117" s="98">
        <f t="shared" si="2"/>
        <v>1201.8007841674578</v>
      </c>
      <c r="D117" s="10">
        <f t="shared" si="3"/>
        <v>-62134.903242633816</v>
      </c>
    </row>
    <row r="118" spans="1:4" x14ac:dyDescent="0.25">
      <c r="A118" s="33" t="s">
        <v>208</v>
      </c>
      <c r="B118" s="34">
        <v>-1500</v>
      </c>
      <c r="C118" s="98">
        <f t="shared" si="2"/>
        <v>1201.8007841674578</v>
      </c>
      <c r="D118" s="10">
        <f t="shared" si="3"/>
        <v>-901.35058812559339</v>
      </c>
    </row>
    <row r="119" spans="1:4" x14ac:dyDescent="0.25">
      <c r="A119" s="33" t="s">
        <v>189</v>
      </c>
      <c r="B119" s="34">
        <v>-177691</v>
      </c>
      <c r="C119" s="98">
        <f t="shared" si="2"/>
        <v>1201.8007841674578</v>
      </c>
      <c r="D119" s="10">
        <f t="shared" si="3"/>
        <v>-106774.59156974987</v>
      </c>
    </row>
    <row r="120" spans="1:4" x14ac:dyDescent="0.25">
      <c r="A120" s="33" t="s">
        <v>213</v>
      </c>
      <c r="B120" s="34">
        <v>-8512</v>
      </c>
      <c r="C120" s="98">
        <f t="shared" si="2"/>
        <v>1201.8007841674578</v>
      </c>
      <c r="D120" s="10">
        <f t="shared" si="3"/>
        <v>-5114.8641374167</v>
      </c>
    </row>
    <row r="121" spans="1:4" x14ac:dyDescent="0.25">
      <c r="A121" s="33" t="s">
        <v>214</v>
      </c>
      <c r="B121" s="34">
        <v>-27645</v>
      </c>
      <c r="C121" s="98">
        <f t="shared" si="2"/>
        <v>1201.8007841674578</v>
      </c>
      <c r="D121" s="10">
        <f t="shared" si="3"/>
        <v>-16611.891339154685</v>
      </c>
    </row>
    <row r="122" spans="1:4" x14ac:dyDescent="0.25">
      <c r="A122" s="33" t="s">
        <v>177</v>
      </c>
      <c r="B122" s="34">
        <v>-35515</v>
      </c>
      <c r="C122" s="98">
        <f t="shared" si="2"/>
        <v>1201.8007841674578</v>
      </c>
      <c r="D122" s="10">
        <f t="shared" si="3"/>
        <v>-21340.977424853631</v>
      </c>
    </row>
    <row r="123" spans="1:4" x14ac:dyDescent="0.25">
      <c r="A123" s="33" t="s">
        <v>215</v>
      </c>
      <c r="B123" s="34">
        <v>-46075</v>
      </c>
      <c r="C123" s="98">
        <f t="shared" si="2"/>
        <v>1201.8007841674578</v>
      </c>
      <c r="D123" s="10">
        <f t="shared" si="3"/>
        <v>-27686.485565257812</v>
      </c>
    </row>
    <row r="124" spans="1:4" x14ac:dyDescent="0.25">
      <c r="A124" s="33" t="s">
        <v>216</v>
      </c>
      <c r="B124" s="34">
        <v>-32236</v>
      </c>
      <c r="C124" s="98">
        <f t="shared" si="2"/>
        <v>1201.8007841674578</v>
      </c>
      <c r="D124" s="10">
        <f t="shared" si="3"/>
        <v>-19370.625039211081</v>
      </c>
    </row>
    <row r="125" spans="1:4" x14ac:dyDescent="0.25">
      <c r="A125" s="33" t="s">
        <v>217</v>
      </c>
      <c r="B125" s="34">
        <v>-5600</v>
      </c>
      <c r="C125" s="98">
        <f t="shared" si="2"/>
        <v>1201.8007841674578</v>
      </c>
      <c r="D125" s="10">
        <f t="shared" si="3"/>
        <v>-3365.042195668882</v>
      </c>
    </row>
    <row r="126" spans="1:4" x14ac:dyDescent="0.25">
      <c r="A126" s="33" t="s">
        <v>179</v>
      </c>
      <c r="B126" s="34">
        <v>-220</v>
      </c>
      <c r="C126" s="98">
        <f t="shared" si="2"/>
        <v>1201.8007841674578</v>
      </c>
      <c r="D126" s="10">
        <f t="shared" si="3"/>
        <v>-132.19808625842035</v>
      </c>
    </row>
    <row r="127" spans="1:4" x14ac:dyDescent="0.25">
      <c r="A127" s="33" t="s">
        <v>221</v>
      </c>
      <c r="B127" s="34">
        <v>-4053</v>
      </c>
      <c r="C127" s="98">
        <f t="shared" si="2"/>
        <v>1201.8007841674578</v>
      </c>
      <c r="D127" s="10">
        <f t="shared" si="3"/>
        <v>-2435.4492891153532</v>
      </c>
    </row>
    <row r="128" spans="1:4" x14ac:dyDescent="0.25">
      <c r="A128" s="33" t="s">
        <v>223</v>
      </c>
      <c r="B128" s="34">
        <v>-20381</v>
      </c>
      <c r="C128" s="98">
        <f t="shared" si="2"/>
        <v>1201.8007841674578</v>
      </c>
      <c r="D128" s="10">
        <f t="shared" si="3"/>
        <v>-12246.950891058479</v>
      </c>
    </row>
    <row r="129" spans="1:4" x14ac:dyDescent="0.25">
      <c r="A129" s="33" t="s">
        <v>224</v>
      </c>
      <c r="B129" s="34">
        <v>-82563</v>
      </c>
      <c r="C129" s="98">
        <f t="shared" si="2"/>
        <v>1201.8007841674578</v>
      </c>
      <c r="D129" s="10">
        <f t="shared" si="3"/>
        <v>-49612.139071608908</v>
      </c>
    </row>
    <row r="130" spans="1:4" x14ac:dyDescent="0.25">
      <c r="A130" s="33" t="s">
        <v>225</v>
      </c>
      <c r="B130" s="34">
        <v>-1984</v>
      </c>
      <c r="C130" s="98">
        <f t="shared" si="2"/>
        <v>1201.8007841674578</v>
      </c>
      <c r="D130" s="10">
        <f t="shared" si="3"/>
        <v>-1192.1863778941181</v>
      </c>
    </row>
    <row r="131" spans="1:4" x14ac:dyDescent="0.25">
      <c r="A131" s="33" t="s">
        <v>226</v>
      </c>
      <c r="B131" s="34">
        <v>-10136</v>
      </c>
      <c r="C131" s="98">
        <f t="shared" si="2"/>
        <v>1201.8007841674578</v>
      </c>
      <c r="D131" s="10">
        <f t="shared" si="3"/>
        <v>-6090.7263741606766</v>
      </c>
    </row>
    <row r="132" spans="1:4" x14ac:dyDescent="0.25">
      <c r="A132" s="33" t="s">
        <v>227</v>
      </c>
      <c r="B132" s="34">
        <v>-4011</v>
      </c>
      <c r="C132" s="98">
        <f t="shared" si="2"/>
        <v>1201.8007841674578</v>
      </c>
      <c r="D132" s="10">
        <f t="shared" si="3"/>
        <v>-2410.2114726478362</v>
      </c>
    </row>
    <row r="133" spans="1:4" x14ac:dyDescent="0.25">
      <c r="A133" s="33" t="s">
        <v>228</v>
      </c>
      <c r="B133" s="34">
        <v>-50</v>
      </c>
      <c r="C133" s="98">
        <f t="shared" ref="C133:C180" si="4">IF(B133&lt;&gt;0,$H$1,"")</f>
        <v>1201.8007841674578</v>
      </c>
      <c r="D133" s="10">
        <f t="shared" ref="D133:D180" si="5">(+B133*C133)/2000</f>
        <v>-30.045019604186443</v>
      </c>
    </row>
    <row r="134" spans="1:4" x14ac:dyDescent="0.25">
      <c r="A134" s="33" t="s">
        <v>229</v>
      </c>
      <c r="B134" s="34">
        <v>-4843</v>
      </c>
      <c r="C134" s="98">
        <f t="shared" si="4"/>
        <v>1201.8007841674578</v>
      </c>
      <c r="D134" s="10">
        <f t="shared" si="5"/>
        <v>-2910.1605988614992</v>
      </c>
    </row>
    <row r="135" spans="1:4" x14ac:dyDescent="0.25">
      <c r="A135" s="33" t="s">
        <v>230</v>
      </c>
      <c r="B135" s="34">
        <v>-168650</v>
      </c>
      <c r="C135" s="98">
        <f t="shared" si="4"/>
        <v>1201.8007841674578</v>
      </c>
      <c r="D135" s="10">
        <f t="shared" si="5"/>
        <v>-101341.85112492087</v>
      </c>
    </row>
    <row r="136" spans="1:4" x14ac:dyDescent="0.25">
      <c r="A136" s="33" t="s">
        <v>232</v>
      </c>
      <c r="B136" s="34">
        <v>-47675</v>
      </c>
      <c r="C136" s="98">
        <f t="shared" si="4"/>
        <v>1201.8007841674578</v>
      </c>
      <c r="D136" s="10">
        <f t="shared" si="5"/>
        <v>-28647.926192591774</v>
      </c>
    </row>
    <row r="137" spans="1:4" x14ac:dyDescent="0.25">
      <c r="A137" s="33" t="s">
        <v>235</v>
      </c>
      <c r="B137" s="34">
        <v>-35775</v>
      </c>
      <c r="C137" s="98">
        <f t="shared" si="4"/>
        <v>1201.8007841674578</v>
      </c>
      <c r="D137" s="10">
        <f t="shared" si="5"/>
        <v>-21497.211526795403</v>
      </c>
    </row>
    <row r="138" spans="1:4" x14ac:dyDescent="0.25">
      <c r="A138" s="33" t="s">
        <v>236</v>
      </c>
      <c r="B138" s="34">
        <v>-30400</v>
      </c>
      <c r="C138" s="98">
        <f t="shared" si="4"/>
        <v>1201.8007841674578</v>
      </c>
      <c r="D138" s="10">
        <f t="shared" si="5"/>
        <v>-18267.371919345358</v>
      </c>
    </row>
    <row r="139" spans="1:4" x14ac:dyDescent="0.25">
      <c r="A139" s="33" t="s">
        <v>238</v>
      </c>
      <c r="B139" s="34">
        <v>-1172</v>
      </c>
      <c r="C139" s="98">
        <f t="shared" si="4"/>
        <v>1201.8007841674578</v>
      </c>
      <c r="D139" s="10">
        <f t="shared" si="5"/>
        <v>-704.25525952213025</v>
      </c>
    </row>
    <row r="140" spans="1:4" x14ac:dyDescent="0.25">
      <c r="A140" s="33" t="s">
        <v>239</v>
      </c>
      <c r="B140" s="34">
        <v>-42162</v>
      </c>
      <c r="C140" s="98">
        <f t="shared" si="4"/>
        <v>1201.8007841674578</v>
      </c>
      <c r="D140" s="10">
        <f t="shared" si="5"/>
        <v>-25335.162331034175</v>
      </c>
    </row>
    <row r="141" spans="1:4" x14ac:dyDescent="0.25">
      <c r="A141" s="33" t="s">
        <v>240</v>
      </c>
      <c r="B141" s="34">
        <v>-4310</v>
      </c>
      <c r="C141" s="98">
        <f t="shared" si="4"/>
        <v>1201.8007841674578</v>
      </c>
      <c r="D141" s="10">
        <f t="shared" si="5"/>
        <v>-2589.8806898808716</v>
      </c>
    </row>
    <row r="142" spans="1:4" x14ac:dyDescent="0.25">
      <c r="A142" s="33" t="s">
        <v>243</v>
      </c>
      <c r="B142" s="34">
        <v>-20775</v>
      </c>
      <c r="C142" s="98">
        <f t="shared" si="4"/>
        <v>1201.8007841674578</v>
      </c>
      <c r="D142" s="10">
        <f t="shared" si="5"/>
        <v>-12483.705645539469</v>
      </c>
    </row>
    <row r="143" spans="1:4" x14ac:dyDescent="0.25">
      <c r="A143" s="33" t="s">
        <v>244</v>
      </c>
      <c r="B143" s="34">
        <v>-5467</v>
      </c>
      <c r="C143" s="98">
        <f t="shared" si="4"/>
        <v>1201.8007841674578</v>
      </c>
      <c r="D143" s="10">
        <f t="shared" si="5"/>
        <v>-3285.1224435217459</v>
      </c>
    </row>
    <row r="144" spans="1:4" x14ac:dyDescent="0.25">
      <c r="A144" s="33" t="s">
        <v>180</v>
      </c>
      <c r="B144" s="34">
        <v>-308680</v>
      </c>
      <c r="C144" s="98">
        <f t="shared" si="4"/>
        <v>1201.8007841674578</v>
      </c>
      <c r="D144" s="10">
        <f t="shared" si="5"/>
        <v>-185485.93302840542</v>
      </c>
    </row>
    <row r="145" spans="1:4" x14ac:dyDescent="0.25">
      <c r="A145" s="33" t="s">
        <v>245</v>
      </c>
      <c r="B145" s="34">
        <v>-789</v>
      </c>
      <c r="C145" s="98">
        <f t="shared" si="4"/>
        <v>1201.8007841674578</v>
      </c>
      <c r="D145" s="10">
        <f t="shared" si="5"/>
        <v>-474.11040935406209</v>
      </c>
    </row>
    <row r="146" spans="1:4" x14ac:dyDescent="0.25">
      <c r="A146" s="33" t="s">
        <v>249</v>
      </c>
      <c r="B146" s="34">
        <v>-5000</v>
      </c>
      <c r="C146" s="98">
        <f t="shared" si="4"/>
        <v>1201.8007841674578</v>
      </c>
      <c r="D146" s="10">
        <f t="shared" si="5"/>
        <v>-3004.5019604186446</v>
      </c>
    </row>
    <row r="147" spans="1:4" x14ac:dyDescent="0.25">
      <c r="A147" s="33" t="s">
        <v>251</v>
      </c>
      <c r="B147" s="34">
        <v>-12286</v>
      </c>
      <c r="C147" s="98">
        <f t="shared" si="4"/>
        <v>1201.8007841674578</v>
      </c>
      <c r="D147" s="10">
        <f t="shared" si="5"/>
        <v>-7382.6622171406934</v>
      </c>
    </row>
    <row r="148" spans="1:4" x14ac:dyDescent="0.25">
      <c r="A148" s="33" t="s">
        <v>252</v>
      </c>
      <c r="B148" s="34">
        <v>-19257</v>
      </c>
      <c r="C148" s="98">
        <f t="shared" si="4"/>
        <v>1201.8007841674578</v>
      </c>
      <c r="D148" s="10">
        <f t="shared" si="5"/>
        <v>-11571.538850356366</v>
      </c>
    </row>
    <row r="149" spans="1:4" x14ac:dyDescent="0.25">
      <c r="A149" s="33" t="s">
        <v>253</v>
      </c>
      <c r="B149" s="34">
        <v>-1275</v>
      </c>
      <c r="C149" s="98">
        <f t="shared" si="4"/>
        <v>1201.8007841674578</v>
      </c>
      <c r="D149" s="10">
        <f t="shared" si="5"/>
        <v>-766.14799990675431</v>
      </c>
    </row>
    <row r="150" spans="1:4" x14ac:dyDescent="0.25">
      <c r="A150" s="33" t="s">
        <v>255</v>
      </c>
      <c r="B150" s="34">
        <v>-15299</v>
      </c>
      <c r="C150" s="98">
        <f t="shared" si="4"/>
        <v>1201.8007841674578</v>
      </c>
      <c r="D150" s="10">
        <f t="shared" si="5"/>
        <v>-9193.1750984889677</v>
      </c>
    </row>
    <row r="151" spans="1:4" x14ac:dyDescent="0.25">
      <c r="A151" s="33" t="s">
        <v>256</v>
      </c>
      <c r="B151" s="34">
        <v>-5250</v>
      </c>
      <c r="C151" s="98">
        <f t="shared" si="4"/>
        <v>1201.8007841674578</v>
      </c>
      <c r="D151" s="10">
        <f t="shared" si="5"/>
        <v>-3154.7270584395765</v>
      </c>
    </row>
    <row r="152" spans="1:4" x14ac:dyDescent="0.25">
      <c r="A152" s="33" t="s">
        <v>257</v>
      </c>
      <c r="B152" s="34">
        <v>-137660</v>
      </c>
      <c r="C152" s="98">
        <f t="shared" si="4"/>
        <v>1201.8007841674578</v>
      </c>
      <c r="D152" s="10">
        <f t="shared" si="5"/>
        <v>-82719.947974246112</v>
      </c>
    </row>
    <row r="153" spans="1:4" x14ac:dyDescent="0.25">
      <c r="A153" s="33" t="s">
        <v>258</v>
      </c>
      <c r="B153" s="34">
        <v>-2250</v>
      </c>
      <c r="C153" s="98">
        <f t="shared" si="4"/>
        <v>1201.8007841674578</v>
      </c>
      <c r="D153" s="10">
        <f t="shared" si="5"/>
        <v>-1352.0258821883899</v>
      </c>
    </row>
    <row r="154" spans="1:4" x14ac:dyDescent="0.25">
      <c r="A154" s="33" t="s">
        <v>260</v>
      </c>
      <c r="B154" s="34">
        <v>-1034</v>
      </c>
      <c r="C154" s="98">
        <f t="shared" si="4"/>
        <v>1201.8007841674578</v>
      </c>
      <c r="D154" s="10">
        <f t="shared" si="5"/>
        <v>-621.33100541457566</v>
      </c>
    </row>
    <row r="155" spans="1:4" x14ac:dyDescent="0.25">
      <c r="A155" s="33" t="s">
        <v>261</v>
      </c>
      <c r="B155" s="34">
        <v>-98543</v>
      </c>
      <c r="C155" s="98">
        <f t="shared" si="4"/>
        <v>1201.8007841674578</v>
      </c>
      <c r="D155" s="10">
        <f t="shared" si="5"/>
        <v>-59214.527337106898</v>
      </c>
    </row>
    <row r="156" spans="1:4" x14ac:dyDescent="0.25">
      <c r="A156" s="33" t="s">
        <v>183</v>
      </c>
      <c r="B156" s="34">
        <v>-337035</v>
      </c>
      <c r="C156" s="98">
        <f t="shared" si="4"/>
        <v>1201.8007841674578</v>
      </c>
      <c r="D156" s="10">
        <f t="shared" si="5"/>
        <v>-202524.46364593957</v>
      </c>
    </row>
    <row r="157" spans="1:4" x14ac:dyDescent="0.25">
      <c r="A157" s="33" t="s">
        <v>262</v>
      </c>
      <c r="B157" s="34">
        <v>-29839</v>
      </c>
      <c r="C157" s="98">
        <f t="shared" si="4"/>
        <v>1201.8007841674578</v>
      </c>
      <c r="D157" s="10">
        <f t="shared" si="5"/>
        <v>-17930.266799386387</v>
      </c>
    </row>
    <row r="158" spans="1:4" x14ac:dyDescent="0.25">
      <c r="A158" s="33" t="s">
        <v>263</v>
      </c>
      <c r="B158" s="34">
        <v>-1668</v>
      </c>
      <c r="C158" s="98">
        <f t="shared" si="4"/>
        <v>1201.8007841674578</v>
      </c>
      <c r="D158" s="10">
        <f t="shared" si="5"/>
        <v>-1002.3018539956597</v>
      </c>
    </row>
    <row r="159" spans="1:4" x14ac:dyDescent="0.25">
      <c r="A159" s="33" t="s">
        <v>264</v>
      </c>
      <c r="B159" s="34">
        <v>-174730</v>
      </c>
      <c r="C159" s="98">
        <f t="shared" si="4"/>
        <v>1201.8007841674578</v>
      </c>
      <c r="D159" s="10">
        <f t="shared" si="5"/>
        <v>-104995.32550878995</v>
      </c>
    </row>
    <row r="160" spans="1:4" x14ac:dyDescent="0.25">
      <c r="A160" s="33" t="s">
        <v>265</v>
      </c>
      <c r="B160" s="34">
        <v>-702</v>
      </c>
      <c r="C160" s="98">
        <f t="shared" si="4"/>
        <v>1201.8007841674578</v>
      </c>
      <c r="D160" s="10">
        <f t="shared" si="5"/>
        <v>-421.83207524277771</v>
      </c>
    </row>
    <row r="161" spans="1:4" x14ac:dyDescent="0.25">
      <c r="A161" s="33" t="s">
        <v>266</v>
      </c>
      <c r="B161" s="34">
        <v>-2980</v>
      </c>
      <c r="C161" s="98">
        <f t="shared" si="4"/>
        <v>1201.8007841674578</v>
      </c>
      <c r="D161" s="10">
        <f t="shared" si="5"/>
        <v>-1790.6831684095121</v>
      </c>
    </row>
    <row r="162" spans="1:4" x14ac:dyDescent="0.25">
      <c r="A162" s="33" t="s">
        <v>267</v>
      </c>
      <c r="B162" s="34">
        <v>-1200</v>
      </c>
      <c r="C162" s="98">
        <f t="shared" si="4"/>
        <v>1201.8007841674578</v>
      </c>
      <c r="D162" s="10">
        <f t="shared" si="5"/>
        <v>-721.08047050047469</v>
      </c>
    </row>
    <row r="163" spans="1:4" x14ac:dyDescent="0.25">
      <c r="A163" s="33" t="s">
        <v>184</v>
      </c>
      <c r="B163" s="34">
        <v>-45037</v>
      </c>
      <c r="C163" s="98">
        <f t="shared" si="4"/>
        <v>1201.8007841674578</v>
      </c>
      <c r="D163" s="10">
        <f t="shared" si="5"/>
        <v>-27062.750958274897</v>
      </c>
    </row>
    <row r="164" spans="1:4" x14ac:dyDescent="0.25">
      <c r="A164" s="33" t="s">
        <v>268</v>
      </c>
      <c r="B164" s="34">
        <v>-137302</v>
      </c>
      <c r="C164" s="98">
        <f t="shared" si="4"/>
        <v>1201.8007841674578</v>
      </c>
      <c r="D164" s="10">
        <f t="shared" si="5"/>
        <v>-82504.825633880144</v>
      </c>
    </row>
    <row r="165" spans="1:4" x14ac:dyDescent="0.25">
      <c r="A165" s="33" t="s">
        <v>185</v>
      </c>
      <c r="B165" s="34">
        <v>-155921</v>
      </c>
      <c r="C165" s="98">
        <f t="shared" si="4"/>
        <v>1201.8007841674578</v>
      </c>
      <c r="D165" s="10">
        <f t="shared" si="5"/>
        <v>-93692.990034087095</v>
      </c>
    </row>
    <row r="166" spans="1:4" x14ac:dyDescent="0.25">
      <c r="A166" s="33" t="s">
        <v>270</v>
      </c>
      <c r="B166" s="34">
        <v>-15870</v>
      </c>
      <c r="C166" s="98">
        <f t="shared" si="4"/>
        <v>1201.8007841674578</v>
      </c>
      <c r="D166" s="10">
        <f t="shared" si="5"/>
        <v>-9536.2892223687777</v>
      </c>
    </row>
    <row r="167" spans="1:4" x14ac:dyDescent="0.25">
      <c r="A167" s="33" t="s">
        <v>271</v>
      </c>
      <c r="B167" s="34">
        <v>-1548</v>
      </c>
      <c r="C167" s="98">
        <f t="shared" si="4"/>
        <v>1201.8007841674578</v>
      </c>
      <c r="D167" s="10">
        <f t="shared" si="5"/>
        <v>-930.19380694561232</v>
      </c>
    </row>
    <row r="168" spans="1:4" x14ac:dyDescent="0.25">
      <c r="A168" s="33" t="s">
        <v>272</v>
      </c>
      <c r="B168" s="34">
        <v>-25283</v>
      </c>
      <c r="C168" s="98">
        <f t="shared" si="4"/>
        <v>1201.8007841674578</v>
      </c>
      <c r="D168" s="10">
        <f t="shared" si="5"/>
        <v>-15192.564613052919</v>
      </c>
    </row>
    <row r="169" spans="1:4" x14ac:dyDescent="0.25">
      <c r="A169" s="33" t="s">
        <v>273</v>
      </c>
      <c r="B169" s="34">
        <v>-5734</v>
      </c>
      <c r="C169" s="98">
        <f t="shared" si="4"/>
        <v>1201.8007841674578</v>
      </c>
      <c r="D169" s="10">
        <f t="shared" si="5"/>
        <v>-3445.5628482081015</v>
      </c>
    </row>
    <row r="170" spans="1:4" x14ac:dyDescent="0.25">
      <c r="A170" s="33" t="s">
        <v>274</v>
      </c>
      <c r="B170" s="34">
        <v>-83511</v>
      </c>
      <c r="C170" s="98">
        <f t="shared" si="4"/>
        <v>1201.8007841674578</v>
      </c>
      <c r="D170" s="10">
        <f t="shared" si="5"/>
        <v>-50181.792643304281</v>
      </c>
    </row>
    <row r="171" spans="1:4" x14ac:dyDescent="0.25">
      <c r="A171" s="33" t="s">
        <v>186</v>
      </c>
      <c r="B171" s="34">
        <v>-6646</v>
      </c>
      <c r="C171" s="98">
        <f t="shared" si="4"/>
        <v>1201.8007841674578</v>
      </c>
      <c r="D171" s="10">
        <f t="shared" si="5"/>
        <v>-3993.584005788462</v>
      </c>
    </row>
    <row r="172" spans="1:4" x14ac:dyDescent="0.25">
      <c r="A172" s="33" t="s">
        <v>276</v>
      </c>
      <c r="B172" s="34">
        <v>-1217</v>
      </c>
      <c r="C172" s="98">
        <f t="shared" si="4"/>
        <v>1201.8007841674578</v>
      </c>
      <c r="D172" s="10">
        <f t="shared" si="5"/>
        <v>-731.29577716589802</v>
      </c>
    </row>
    <row r="173" spans="1:4" x14ac:dyDescent="0.25">
      <c r="A173" s="33" t="s">
        <v>279</v>
      </c>
      <c r="B173" s="34">
        <v>-511</v>
      </c>
      <c r="C173" s="98">
        <f t="shared" si="4"/>
        <v>1201.8007841674578</v>
      </c>
      <c r="D173" s="10">
        <f t="shared" si="5"/>
        <v>-307.06010035478545</v>
      </c>
    </row>
    <row r="174" spans="1:4" x14ac:dyDescent="0.25">
      <c r="A174" s="33" t="s">
        <v>188</v>
      </c>
      <c r="B174" s="34">
        <v>-1339719</v>
      </c>
      <c r="C174" s="98">
        <f t="shared" si="4"/>
        <v>1201.8007841674578</v>
      </c>
      <c r="D174" s="10">
        <f t="shared" si="5"/>
        <v>-805037.67238202121</v>
      </c>
    </row>
    <row r="175" spans="1:4" x14ac:dyDescent="0.25">
      <c r="A175" s="33" t="s">
        <v>280</v>
      </c>
      <c r="B175" s="34">
        <v>-3855</v>
      </c>
      <c r="C175" s="98">
        <f t="shared" si="4"/>
        <v>1201.8007841674578</v>
      </c>
      <c r="D175" s="10">
        <f t="shared" si="5"/>
        <v>-2316.4710114827749</v>
      </c>
    </row>
    <row r="176" spans="1:4" x14ac:dyDescent="0.25">
      <c r="A176" s="33" t="s">
        <v>282</v>
      </c>
      <c r="B176" s="34">
        <v>-2083</v>
      </c>
      <c r="C176" s="98">
        <f t="shared" si="4"/>
        <v>1201.8007841674578</v>
      </c>
      <c r="D176" s="10">
        <f t="shared" si="5"/>
        <v>-1251.6755167104072</v>
      </c>
    </row>
    <row r="177" spans="1:4" x14ac:dyDescent="0.25">
      <c r="A177" s="33" t="s">
        <v>284</v>
      </c>
      <c r="B177" s="34">
        <v>-1311</v>
      </c>
      <c r="C177" s="98">
        <f t="shared" si="4"/>
        <v>1201.8007841674578</v>
      </c>
      <c r="D177" s="10">
        <f t="shared" si="5"/>
        <v>-787.78041402176859</v>
      </c>
    </row>
    <row r="178" spans="1:4" x14ac:dyDescent="0.25">
      <c r="A178" s="33" t="s">
        <v>285</v>
      </c>
      <c r="B178" s="34">
        <v>-18330</v>
      </c>
      <c r="C178" s="98">
        <f t="shared" si="4"/>
        <v>1201.8007841674578</v>
      </c>
      <c r="D178" s="10">
        <f t="shared" si="5"/>
        <v>-11014.50418689475</v>
      </c>
    </row>
    <row r="179" spans="1:4" x14ac:dyDescent="0.25">
      <c r="A179" s="33" t="s">
        <v>287</v>
      </c>
      <c r="B179" s="34">
        <v>-410</v>
      </c>
      <c r="C179" s="98">
        <f t="shared" si="4"/>
        <v>1201.8007841674578</v>
      </c>
      <c r="D179" s="10">
        <f t="shared" si="5"/>
        <v>-246.36916075432885</v>
      </c>
    </row>
    <row r="180" spans="1:4" x14ac:dyDescent="0.25">
      <c r="A180" s="33" t="s">
        <v>289</v>
      </c>
      <c r="B180" s="34">
        <v>-1186</v>
      </c>
      <c r="C180" s="98">
        <f t="shared" si="4"/>
        <v>1201.8007841674578</v>
      </c>
      <c r="D180" s="10">
        <f t="shared" si="5"/>
        <v>-712.66786501130241</v>
      </c>
    </row>
    <row r="181" spans="1:4" x14ac:dyDescent="0.25">
      <c r="A181" s="33"/>
      <c r="B181" s="34"/>
      <c r="C181" s="98"/>
      <c r="D181" s="10"/>
    </row>
    <row r="182" spans="1:4" ht="15.75" thickBot="1" x14ac:dyDescent="0.3">
      <c r="A182" s="36"/>
      <c r="B182" s="37"/>
      <c r="C182" s="99"/>
      <c r="D182" s="16"/>
    </row>
    <row r="183" spans="1:4" ht="16.5" thickTop="1" thickBot="1" x14ac:dyDescent="0.3">
      <c r="A183" s="13"/>
      <c r="B183" s="96">
        <f>SUM(B4:B182)</f>
        <v>5220403</v>
      </c>
      <c r="C183" s="100"/>
      <c r="D183" s="97">
        <f>SUM(D4:D182)</f>
        <v>3136942.2095350744</v>
      </c>
    </row>
    <row r="184" spans="1:4" x14ac:dyDescent="0.25">
      <c r="C184" s="101"/>
    </row>
    <row r="185" spans="1:4" x14ac:dyDescent="0.25">
      <c r="C185" s="101"/>
    </row>
    <row r="186" spans="1:4" x14ac:dyDescent="0.25">
      <c r="C186" s="101"/>
    </row>
    <row r="187" spans="1:4" x14ac:dyDescent="0.25">
      <c r="C187" s="101"/>
    </row>
    <row r="188" spans="1:4" x14ac:dyDescent="0.25">
      <c r="C188" s="101"/>
    </row>
    <row r="189" spans="1:4" x14ac:dyDescent="0.25">
      <c r="C189" s="101"/>
    </row>
    <row r="190" spans="1:4" x14ac:dyDescent="0.25">
      <c r="C190" s="101"/>
    </row>
    <row r="191" spans="1:4" x14ac:dyDescent="0.25">
      <c r="C191" s="101"/>
    </row>
    <row r="192" spans="1:4" x14ac:dyDescent="0.25">
      <c r="C192" s="101"/>
    </row>
    <row r="193" spans="3:3" x14ac:dyDescent="0.25">
      <c r="C193" s="101"/>
    </row>
    <row r="194" spans="3:3" x14ac:dyDescent="0.25">
      <c r="C194" s="101"/>
    </row>
    <row r="195" spans="3:3" x14ac:dyDescent="0.25">
      <c r="C195" s="101"/>
    </row>
    <row r="196" spans="3:3" x14ac:dyDescent="0.25">
      <c r="C196" s="101"/>
    </row>
    <row r="197" spans="3:3" x14ac:dyDescent="0.25">
      <c r="C197" s="101"/>
    </row>
    <row r="198" spans="3:3" x14ac:dyDescent="0.25">
      <c r="C198" s="101"/>
    </row>
    <row r="199" spans="3:3" x14ac:dyDescent="0.25">
      <c r="C199" s="101"/>
    </row>
    <row r="200" spans="3:3" x14ac:dyDescent="0.25">
      <c r="C200" s="101"/>
    </row>
    <row r="201" spans="3:3" x14ac:dyDescent="0.25">
      <c r="C201" s="101"/>
    </row>
    <row r="202" spans="3:3" x14ac:dyDescent="0.25">
      <c r="C202" s="101"/>
    </row>
    <row r="203" spans="3:3" x14ac:dyDescent="0.25">
      <c r="C203" s="101"/>
    </row>
    <row r="204" spans="3:3" x14ac:dyDescent="0.25">
      <c r="C204" s="101"/>
    </row>
    <row r="205" spans="3:3" x14ac:dyDescent="0.25">
      <c r="C205" s="101"/>
    </row>
    <row r="206" spans="3:3" x14ac:dyDescent="0.25">
      <c r="C206" s="101"/>
    </row>
    <row r="207" spans="3:3" x14ac:dyDescent="0.25">
      <c r="C207" s="101"/>
    </row>
    <row r="208" spans="3:3" x14ac:dyDescent="0.25">
      <c r="C208" s="101"/>
    </row>
    <row r="209" spans="3:3" x14ac:dyDescent="0.25">
      <c r="C209" s="101"/>
    </row>
    <row r="210" spans="3:3" x14ac:dyDescent="0.25">
      <c r="C210" s="101"/>
    </row>
    <row r="211" spans="3:3" x14ac:dyDescent="0.25">
      <c r="C211" s="101"/>
    </row>
    <row r="212" spans="3:3" x14ac:dyDescent="0.25">
      <c r="C212" s="101"/>
    </row>
    <row r="213" spans="3:3" x14ac:dyDescent="0.25">
      <c r="C213" s="101"/>
    </row>
    <row r="214" spans="3:3" x14ac:dyDescent="0.25">
      <c r="C214" s="101"/>
    </row>
    <row r="215" spans="3:3" x14ac:dyDescent="0.25">
      <c r="C215" s="101"/>
    </row>
    <row r="216" spans="3:3" x14ac:dyDescent="0.25">
      <c r="C216" s="101"/>
    </row>
    <row r="217" spans="3:3" x14ac:dyDescent="0.25">
      <c r="C217" s="101"/>
    </row>
    <row r="218" spans="3:3" x14ac:dyDescent="0.25">
      <c r="C218" s="101"/>
    </row>
    <row r="219" spans="3:3" x14ac:dyDescent="0.25">
      <c r="C219" s="101"/>
    </row>
    <row r="220" spans="3:3" x14ac:dyDescent="0.25">
      <c r="C220" s="101"/>
    </row>
    <row r="221" spans="3:3" x14ac:dyDescent="0.25">
      <c r="C221" s="101"/>
    </row>
    <row r="222" spans="3:3" x14ac:dyDescent="0.25">
      <c r="C222" s="101"/>
    </row>
    <row r="223" spans="3:3" x14ac:dyDescent="0.25">
      <c r="C223" s="101"/>
    </row>
    <row r="224" spans="3:3" x14ac:dyDescent="0.25">
      <c r="C224" s="101"/>
    </row>
    <row r="225" spans="3:3" x14ac:dyDescent="0.25">
      <c r="C225" s="101"/>
    </row>
    <row r="226" spans="3:3" x14ac:dyDescent="0.25">
      <c r="C226" s="101"/>
    </row>
    <row r="227" spans="3:3" x14ac:dyDescent="0.25">
      <c r="C227" s="101"/>
    </row>
    <row r="228" spans="3:3" x14ac:dyDescent="0.25">
      <c r="C228" s="101"/>
    </row>
    <row r="229" spans="3:3" x14ac:dyDescent="0.25">
      <c r="C229" s="101"/>
    </row>
    <row r="230" spans="3:3" x14ac:dyDescent="0.25">
      <c r="C230" s="101"/>
    </row>
    <row r="231" spans="3:3" x14ac:dyDescent="0.25">
      <c r="C231" s="101"/>
    </row>
    <row r="232" spans="3:3" x14ac:dyDescent="0.25">
      <c r="C232" s="101"/>
    </row>
    <row r="233" spans="3:3" x14ac:dyDescent="0.25">
      <c r="C233" s="101"/>
    </row>
    <row r="234" spans="3:3" x14ac:dyDescent="0.25">
      <c r="C234" s="101"/>
    </row>
  </sheetData>
  <hyperlinks>
    <hyperlink ref="D1" r:id="rId1"/>
  </hyperlinks>
  <pageMargins left="0.7" right="0.7" top="0.75" bottom="0.75" header="0.3" footer="0.3"/>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2006</v>
      </c>
      <c r="D4" s="72" t="s">
        <v>40</v>
      </c>
      <c r="E4" s="68"/>
    </row>
    <row r="5" spans="1:7" thickBot="1" x14ac:dyDescent="0.35">
      <c r="A5" s="238" t="s">
        <v>21</v>
      </c>
      <c r="B5" s="239"/>
      <c r="C5" s="78">
        <f>+F10*'Census Stats'!$L$38</f>
        <v>2267102.1722361753</v>
      </c>
      <c r="D5" s="66">
        <f>+D13/C5</f>
        <v>9.2504578121039671</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10593340</v>
      </c>
      <c r="E10" s="19">
        <f>+D10/D13</f>
        <v>0.50512468378268982</v>
      </c>
      <c r="F10" s="42">
        <v>909876</v>
      </c>
      <c r="G10" s="58">
        <f>+D10/F10</f>
        <v>11.642619433856922</v>
      </c>
    </row>
    <row r="11" spans="1:7" ht="14.45" x14ac:dyDescent="0.3">
      <c r="A11" s="235" t="s">
        <v>17</v>
      </c>
      <c r="B11" s="236"/>
      <c r="C11" s="237"/>
      <c r="D11" s="70">
        <f>70566+8939155</f>
        <v>9009721</v>
      </c>
      <c r="E11" s="19">
        <f>+D11/D13</f>
        <v>0.42961261236732318</v>
      </c>
      <c r="F11" s="42">
        <f>2628+111671</f>
        <v>114299</v>
      </c>
      <c r="G11" s="58">
        <f>+D11/F11</f>
        <v>78.825895239678388</v>
      </c>
    </row>
    <row r="12" spans="1:7" ht="14.45" x14ac:dyDescent="0.3">
      <c r="A12" s="235" t="s">
        <v>18</v>
      </c>
      <c r="B12" s="236"/>
      <c r="C12" s="237"/>
      <c r="D12" s="70">
        <v>1368672</v>
      </c>
      <c r="E12" s="19">
        <f>+D12/D13</f>
        <v>6.526270384998703E-2</v>
      </c>
      <c r="F12" s="6"/>
      <c r="G12" s="47"/>
    </row>
    <row r="13" spans="1:7" thickBot="1" x14ac:dyDescent="0.35">
      <c r="A13" s="48"/>
      <c r="B13" s="240" t="s">
        <v>13</v>
      </c>
      <c r="C13" s="239"/>
      <c r="D13" s="71">
        <f>SUM(D10:D12)</f>
        <v>20971733</v>
      </c>
      <c r="E13" s="49"/>
      <c r="F13" s="50"/>
      <c r="G13" s="51"/>
    </row>
    <row r="15" spans="1:7" ht="18.600000000000001" thickBot="1" x14ac:dyDescent="0.4">
      <c r="B15" s="62" t="s">
        <v>37</v>
      </c>
    </row>
    <row r="16" spans="1:7" x14ac:dyDescent="0.25">
      <c r="A16" s="43"/>
      <c r="B16" s="44"/>
      <c r="C16" s="44"/>
      <c r="D16" s="44"/>
      <c r="E16" s="45" t="s">
        <v>29</v>
      </c>
      <c r="F16" s="52" t="s">
        <v>5</v>
      </c>
      <c r="G16" s="53"/>
    </row>
    <row r="17" spans="1:8" ht="18" x14ac:dyDescent="0.35">
      <c r="A17" s="54"/>
      <c r="B17" s="6"/>
      <c r="C17" s="6"/>
      <c r="D17" s="32" t="s">
        <v>19</v>
      </c>
      <c r="E17" s="25" t="s">
        <v>30</v>
      </c>
      <c r="F17" s="21" t="s">
        <v>8</v>
      </c>
      <c r="G17" s="47"/>
    </row>
    <row r="18" spans="1:8" ht="15.75" thickBot="1" x14ac:dyDescent="0.3">
      <c r="A18" s="235" t="s">
        <v>33</v>
      </c>
      <c r="B18" s="236"/>
      <c r="C18" s="237"/>
      <c r="D18" s="10">
        <f>'2006 Known'!B45</f>
        <v>16470703.943999998</v>
      </c>
      <c r="E18" s="19">
        <f>+D18/(D18+D19)</f>
        <v>0.72917767019909785</v>
      </c>
      <c r="F18" s="10">
        <f>'2006 Known'!D45</f>
        <v>8663255.187682651</v>
      </c>
      <c r="G18" s="47"/>
    </row>
    <row r="19" spans="1:8" ht="18" x14ac:dyDescent="0.35">
      <c r="A19" s="235" t="s">
        <v>34</v>
      </c>
      <c r="B19" s="236"/>
      <c r="C19" s="237"/>
      <c r="D19" s="59">
        <f>'2006 Unknown'!B182</f>
        <v>6117349.1699999999</v>
      </c>
      <c r="E19" s="60">
        <f>+D19/(D18+D19)</f>
        <v>0.27082232980090204</v>
      </c>
      <c r="F19" s="74">
        <f>'2006 Unknown'!D182</f>
        <v>3101015.7505617333</v>
      </c>
      <c r="G19" s="76" t="s">
        <v>39</v>
      </c>
    </row>
    <row r="20" spans="1:8" ht="18.75" thickBot="1" x14ac:dyDescent="0.4">
      <c r="A20" s="48"/>
      <c r="B20" s="50"/>
      <c r="C20" s="50"/>
      <c r="D20" s="73">
        <f>+C4</f>
        <v>2006</v>
      </c>
      <c r="E20" s="55" t="s">
        <v>4</v>
      </c>
      <c r="F20" s="75">
        <f>SUM(F18:F19)</f>
        <v>11764270.938244384</v>
      </c>
      <c r="G20" s="77">
        <f>+F20/G22</f>
        <v>1.6936600264904533</v>
      </c>
    </row>
    <row r="22" spans="1:8" ht="18" x14ac:dyDescent="0.35">
      <c r="F22" s="24" t="s">
        <v>27</v>
      </c>
      <c r="G22" s="34">
        <f>+G29</f>
        <v>6946064</v>
      </c>
      <c r="H22" s="31" t="s">
        <v>38</v>
      </c>
    </row>
    <row r="24" spans="1:8" x14ac:dyDescent="0.25">
      <c r="E24" s="31" t="s">
        <v>22</v>
      </c>
      <c r="F24" s="26"/>
      <c r="G24" s="26"/>
    </row>
    <row r="25" spans="1:8" x14ac:dyDescent="0.25">
      <c r="E25" s="26"/>
      <c r="F25" s="26"/>
      <c r="G25" s="29" t="s">
        <v>26</v>
      </c>
    </row>
    <row r="26" spans="1:8" ht="18" x14ac:dyDescent="0.35">
      <c r="E26" s="26"/>
      <c r="F26" s="26"/>
      <c r="G26" s="30" t="s">
        <v>3</v>
      </c>
    </row>
    <row r="27" spans="1:8" x14ac:dyDescent="0.25">
      <c r="E27" s="26"/>
      <c r="F27" s="27" t="s">
        <v>23</v>
      </c>
      <c r="G27" s="28">
        <v>1131957</v>
      </c>
    </row>
    <row r="28" spans="1:8" x14ac:dyDescent="0.25">
      <c r="E28" s="26"/>
      <c r="F28" s="27" t="s">
        <v>24</v>
      </c>
      <c r="G28" s="28">
        <v>2399078</v>
      </c>
    </row>
    <row r="29" spans="1:8"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F3" sqref="F3"/>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10</v>
      </c>
      <c r="B1" s="95">
        <v>2006</v>
      </c>
    </row>
    <row r="2" spans="1:5" ht="18.75" x14ac:dyDescent="0.3">
      <c r="A2" s="3"/>
      <c r="B2" s="11" t="s">
        <v>31</v>
      </c>
      <c r="C2" s="11"/>
      <c r="D2" s="11" t="s">
        <v>5</v>
      </c>
    </row>
    <row r="3" spans="1:5" ht="19.5" x14ac:dyDescent="0.35">
      <c r="A3" s="5" t="s">
        <v>0</v>
      </c>
      <c r="B3" s="12"/>
      <c r="C3" s="12" t="s">
        <v>7</v>
      </c>
      <c r="D3" s="12" t="s">
        <v>8</v>
      </c>
      <c r="E3" s="2"/>
    </row>
    <row r="4" spans="1:5" x14ac:dyDescent="0.25">
      <c r="A4" s="33" t="s">
        <v>293</v>
      </c>
      <c r="B4" s="34">
        <v>67270.350000000006</v>
      </c>
      <c r="C4" s="34">
        <v>0</v>
      </c>
      <c r="D4" s="10">
        <v>0</v>
      </c>
    </row>
    <row r="5" spans="1:5" x14ac:dyDescent="0.25">
      <c r="A5" s="33" t="s">
        <v>294</v>
      </c>
      <c r="B5" s="34">
        <v>334144.53999999998</v>
      </c>
      <c r="C5" s="34">
        <v>0</v>
      </c>
      <c r="D5" s="10">
        <v>0</v>
      </c>
    </row>
    <row r="6" spans="1:5" x14ac:dyDescent="0.25">
      <c r="A6" s="33" t="s">
        <v>295</v>
      </c>
      <c r="B6" s="34">
        <v>47557.4</v>
      </c>
      <c r="C6" s="34">
        <v>0</v>
      </c>
      <c r="D6" s="10">
        <v>0</v>
      </c>
    </row>
    <row r="7" spans="1:5" x14ac:dyDescent="0.25">
      <c r="A7" s="33" t="s">
        <v>296</v>
      </c>
      <c r="B7" s="34">
        <v>161751.4</v>
      </c>
      <c r="C7" s="34">
        <v>0</v>
      </c>
      <c r="D7" s="10">
        <v>0</v>
      </c>
    </row>
    <row r="8" spans="1:5" x14ac:dyDescent="0.25">
      <c r="A8" s="33" t="s">
        <v>297</v>
      </c>
      <c r="B8" s="34">
        <v>338552.67</v>
      </c>
      <c r="C8" s="34">
        <v>0</v>
      </c>
      <c r="D8" s="10">
        <v>0</v>
      </c>
    </row>
    <row r="9" spans="1:5" x14ac:dyDescent="0.25">
      <c r="A9" s="33" t="s">
        <v>312</v>
      </c>
      <c r="B9" s="34">
        <v>2180745</v>
      </c>
      <c r="C9" s="34">
        <v>2483.2378843010079</v>
      </c>
      <c r="D9" s="10">
        <v>2707654.3000000003</v>
      </c>
    </row>
    <row r="10" spans="1:5" x14ac:dyDescent="0.25">
      <c r="A10" s="33" t="s">
        <v>313</v>
      </c>
      <c r="B10" s="34">
        <v>2619283</v>
      </c>
      <c r="C10" s="34">
        <v>2451.1025727269639</v>
      </c>
      <c r="D10" s="10">
        <v>3210065.65</v>
      </c>
    </row>
    <row r="11" spans="1:5" x14ac:dyDescent="0.25">
      <c r="A11" s="33" t="s">
        <v>299</v>
      </c>
      <c r="B11" s="34">
        <v>259963.15</v>
      </c>
      <c r="C11" s="34">
        <v>1062.5147451436867</v>
      </c>
      <c r="D11" s="10">
        <v>138107.3400345</v>
      </c>
    </row>
    <row r="12" spans="1:5" x14ac:dyDescent="0.25">
      <c r="A12" s="33" t="s">
        <v>298</v>
      </c>
      <c r="B12" s="34">
        <v>1060.42</v>
      </c>
      <c r="C12" s="34">
        <v>1719.1841723090849</v>
      </c>
      <c r="D12" s="10">
        <v>911.52864</v>
      </c>
    </row>
    <row r="13" spans="1:5" x14ac:dyDescent="0.25">
      <c r="A13" s="33" t="s">
        <v>301</v>
      </c>
      <c r="B13" s="34">
        <v>393030</v>
      </c>
      <c r="C13" s="34">
        <v>765.38453586062133</v>
      </c>
      <c r="D13" s="10">
        <v>150409.54206465001</v>
      </c>
    </row>
    <row r="14" spans="1:5" x14ac:dyDescent="0.25">
      <c r="A14" s="33" t="s">
        <v>302</v>
      </c>
      <c r="B14" s="34">
        <v>42874.400000000001</v>
      </c>
      <c r="C14" s="34">
        <v>1279.4831823559045</v>
      </c>
      <c r="D14" s="10">
        <v>27428.536876799997</v>
      </c>
    </row>
    <row r="15" spans="1:5" x14ac:dyDescent="0.25">
      <c r="A15" s="33" t="s">
        <v>304</v>
      </c>
      <c r="B15" s="34">
        <v>12684.3</v>
      </c>
      <c r="C15" s="34">
        <v>1724.8897433047155</v>
      </c>
      <c r="D15" s="10">
        <v>10939.509485500001</v>
      </c>
    </row>
    <row r="16" spans="1:5" x14ac:dyDescent="0.25">
      <c r="A16" s="33" t="s">
        <v>306</v>
      </c>
      <c r="B16" s="34">
        <v>361586.57799999998</v>
      </c>
      <c r="C16" s="34">
        <v>0</v>
      </c>
      <c r="D16" s="10">
        <v>0</v>
      </c>
    </row>
    <row r="17" spans="1:4" x14ac:dyDescent="0.25">
      <c r="A17" s="33" t="s">
        <v>310</v>
      </c>
      <c r="B17" s="34">
        <v>13578</v>
      </c>
      <c r="C17" s="34">
        <v>1596.4305845485346</v>
      </c>
      <c r="D17" s="10">
        <v>10838.1672385</v>
      </c>
    </row>
    <row r="18" spans="1:4" x14ac:dyDescent="0.25">
      <c r="A18" s="33" t="s">
        <v>311</v>
      </c>
      <c r="B18" s="34">
        <v>11241.772000000001</v>
      </c>
      <c r="C18" s="34">
        <v>0</v>
      </c>
      <c r="D18" s="10">
        <v>0</v>
      </c>
    </row>
    <row r="19" spans="1:4" x14ac:dyDescent="0.25">
      <c r="A19" s="33" t="s">
        <v>315</v>
      </c>
      <c r="B19" s="34">
        <v>22242.52</v>
      </c>
      <c r="C19" s="34">
        <v>845.2820744685913</v>
      </c>
      <c r="D19" s="10">
        <v>9400.6017235045656</v>
      </c>
    </row>
    <row r="20" spans="1:4" x14ac:dyDescent="0.25">
      <c r="A20" s="33" t="s">
        <v>175</v>
      </c>
      <c r="B20" s="34">
        <v>7077</v>
      </c>
      <c r="C20" s="34">
        <v>0</v>
      </c>
      <c r="D20" s="10">
        <v>0</v>
      </c>
    </row>
    <row r="21" spans="1:4" x14ac:dyDescent="0.25">
      <c r="A21" s="33" t="s">
        <v>318</v>
      </c>
      <c r="B21" s="34">
        <v>362075</v>
      </c>
      <c r="C21" s="34">
        <v>845.2820744685913</v>
      </c>
      <c r="D21" s="10">
        <v>153027.75355660761</v>
      </c>
    </row>
    <row r="22" spans="1:4" x14ac:dyDescent="0.25">
      <c r="A22" s="33" t="s">
        <v>321</v>
      </c>
      <c r="B22" s="34">
        <v>1294355</v>
      </c>
      <c r="C22" s="34">
        <v>0</v>
      </c>
      <c r="D22" s="10">
        <v>0</v>
      </c>
    </row>
    <row r="23" spans="1:4" x14ac:dyDescent="0.25">
      <c r="A23" s="33" t="s">
        <v>322</v>
      </c>
      <c r="B23" s="34">
        <v>2365522</v>
      </c>
      <c r="C23" s="34">
        <v>0</v>
      </c>
      <c r="D23" s="10">
        <v>0</v>
      </c>
    </row>
    <row r="24" spans="1:4" x14ac:dyDescent="0.25">
      <c r="A24" s="33" t="s">
        <v>323</v>
      </c>
      <c r="B24" s="34">
        <v>1133871</v>
      </c>
      <c r="C24" s="34">
        <v>0</v>
      </c>
      <c r="D24" s="10">
        <v>0</v>
      </c>
    </row>
    <row r="25" spans="1:4" x14ac:dyDescent="0.25">
      <c r="A25" s="33" t="s">
        <v>327</v>
      </c>
      <c r="B25" s="34">
        <v>443113</v>
      </c>
      <c r="C25" s="34">
        <v>0</v>
      </c>
      <c r="D25" s="10">
        <v>0</v>
      </c>
    </row>
    <row r="26" spans="1:4" x14ac:dyDescent="0.25">
      <c r="A26" s="33" t="s">
        <v>329</v>
      </c>
      <c r="B26" s="34">
        <v>455505</v>
      </c>
      <c r="C26" s="34">
        <v>0</v>
      </c>
      <c r="D26" s="10">
        <v>0</v>
      </c>
    </row>
    <row r="27" spans="1:4" x14ac:dyDescent="0.25">
      <c r="A27" s="33" t="s">
        <v>334</v>
      </c>
      <c r="B27" s="34">
        <v>723917</v>
      </c>
      <c r="C27" s="34">
        <v>2465.7022625701302</v>
      </c>
      <c r="D27" s="10">
        <f>C27*B27/2000</f>
        <v>892481.8924064904</v>
      </c>
    </row>
    <row r="28" spans="1:4" x14ac:dyDescent="0.25">
      <c r="A28" s="33" t="s">
        <v>339</v>
      </c>
      <c r="B28" s="34">
        <v>89664</v>
      </c>
      <c r="C28" s="34">
        <v>845.2820744685913</v>
      </c>
      <c r="D28" s="10">
        <v>37895.685962575881</v>
      </c>
    </row>
    <row r="29" spans="1:4" x14ac:dyDescent="0.25">
      <c r="A29" s="33" t="s">
        <v>343</v>
      </c>
      <c r="B29" s="34">
        <v>1823.28</v>
      </c>
      <c r="C29" s="34">
        <v>0</v>
      </c>
      <c r="D29" s="10">
        <v>0</v>
      </c>
    </row>
    <row r="30" spans="1:4" x14ac:dyDescent="0.25">
      <c r="A30" s="33" t="s">
        <v>344</v>
      </c>
      <c r="B30" s="34">
        <v>36732</v>
      </c>
      <c r="C30" s="34">
        <v>0</v>
      </c>
      <c r="D30" s="10">
        <v>0</v>
      </c>
    </row>
    <row r="31" spans="1:4" x14ac:dyDescent="0.25">
      <c r="A31" s="33" t="s">
        <v>348</v>
      </c>
      <c r="B31" s="34">
        <v>2171.36</v>
      </c>
      <c r="C31" s="34">
        <v>0</v>
      </c>
      <c r="D31" s="10">
        <v>0</v>
      </c>
    </row>
    <row r="32" spans="1:4" x14ac:dyDescent="0.25">
      <c r="A32" s="33" t="s">
        <v>349</v>
      </c>
      <c r="B32" s="34">
        <v>33468</v>
      </c>
      <c r="C32" s="34">
        <v>0</v>
      </c>
      <c r="D32" s="10">
        <v>0</v>
      </c>
    </row>
    <row r="33" spans="1:4" x14ac:dyDescent="0.25">
      <c r="A33" s="33" t="s">
        <v>351</v>
      </c>
      <c r="B33" s="34">
        <v>983695.89</v>
      </c>
      <c r="C33" s="34">
        <v>726.80073847423307</v>
      </c>
      <c r="D33" s="10">
        <v>357475.44964303396</v>
      </c>
    </row>
    <row r="34" spans="1:4" x14ac:dyDescent="0.25">
      <c r="A34" s="33" t="s">
        <v>352</v>
      </c>
      <c r="B34" s="34">
        <v>17652.95</v>
      </c>
      <c r="C34" s="34">
        <v>0</v>
      </c>
      <c r="D34" s="10">
        <v>0</v>
      </c>
    </row>
    <row r="35" spans="1:4" x14ac:dyDescent="0.25">
      <c r="A35" s="33" t="s">
        <v>353</v>
      </c>
      <c r="B35" s="34">
        <v>1847.0640000000001</v>
      </c>
      <c r="C35" s="34">
        <v>1056.3533228240403</v>
      </c>
      <c r="D35" s="10">
        <v>975.57609693433164</v>
      </c>
    </row>
    <row r="36" spans="1:4" x14ac:dyDescent="0.25">
      <c r="A36" s="35" t="s">
        <v>354</v>
      </c>
      <c r="B36" s="34">
        <v>4828.6099999999997</v>
      </c>
      <c r="C36" s="34">
        <v>0</v>
      </c>
      <c r="D36" s="10">
        <v>0</v>
      </c>
    </row>
    <row r="37" spans="1:4" x14ac:dyDescent="0.25">
      <c r="A37" s="35" t="s">
        <v>355</v>
      </c>
      <c r="B37" s="34">
        <v>141325</v>
      </c>
      <c r="C37" s="34">
        <v>4573.6816773508808</v>
      </c>
      <c r="D37" s="10">
        <v>323187.78152580658</v>
      </c>
    </row>
    <row r="38" spans="1:4" x14ac:dyDescent="0.25">
      <c r="A38" s="35" t="s">
        <v>275</v>
      </c>
      <c r="B38" s="34">
        <v>579513.65</v>
      </c>
      <c r="C38" s="34">
        <v>927.49481118458982</v>
      </c>
      <c r="D38" s="10">
        <v>268747.95169282128</v>
      </c>
    </row>
    <row r="39" spans="1:4" x14ac:dyDescent="0.25">
      <c r="A39" s="35" t="s">
        <v>356</v>
      </c>
      <c r="B39" s="34">
        <v>585.6</v>
      </c>
      <c r="C39" s="34">
        <v>0</v>
      </c>
      <c r="D39" s="10">
        <v>0</v>
      </c>
    </row>
    <row r="40" spans="1:4" x14ac:dyDescent="0.25">
      <c r="A40" s="35" t="s">
        <v>277</v>
      </c>
      <c r="B40" s="34">
        <v>844472.04</v>
      </c>
      <c r="C40" s="34">
        <v>861.38534731103448</v>
      </c>
      <c r="D40" s="10">
        <v>363707.92073492892</v>
      </c>
    </row>
    <row r="41" spans="1:4" x14ac:dyDescent="0.25">
      <c r="A41" s="35" t="s">
        <v>357</v>
      </c>
      <c r="B41" s="34">
        <v>67233</v>
      </c>
      <c r="C41" s="34">
        <v>0</v>
      </c>
      <c r="D41" s="10">
        <v>0</v>
      </c>
    </row>
    <row r="42" spans="1:4" x14ac:dyDescent="0.25">
      <c r="A42" s="35" t="s">
        <v>358</v>
      </c>
      <c r="B42" s="34">
        <v>12691</v>
      </c>
      <c r="C42" s="34">
        <v>0</v>
      </c>
      <c r="D42" s="10">
        <v>0</v>
      </c>
    </row>
    <row r="43" spans="1:4" x14ac:dyDescent="0.25">
      <c r="A43" s="35"/>
      <c r="B43" s="34"/>
      <c r="C43" s="34"/>
      <c r="D43" s="10"/>
    </row>
    <row r="44" spans="1:4" ht="15.75" thickBot="1" x14ac:dyDescent="0.3">
      <c r="A44" s="36"/>
      <c r="B44" s="37"/>
      <c r="C44" s="37"/>
      <c r="D44" s="16"/>
    </row>
    <row r="45" spans="1:4" ht="16.5" thickTop="1" thickBot="1" x14ac:dyDescent="0.3">
      <c r="A45" s="1"/>
      <c r="B45" s="17">
        <f>SUM(B4:B44)</f>
        <v>16470703.943999998</v>
      </c>
      <c r="D45" s="17">
        <f>SUM(D4:D44)</f>
        <v>8663255.187682651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workbookViewId="0">
      <selection activeCell="F8" sqref="F8"/>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2006</v>
      </c>
      <c r="D1" s="8" t="s">
        <v>2</v>
      </c>
      <c r="H1" s="39">
        <v>1013.8429781871461</v>
      </c>
      <c r="I1" t="s">
        <v>6</v>
      </c>
    </row>
    <row r="2" spans="1:9" ht="18.75" x14ac:dyDescent="0.3">
      <c r="A2" s="3"/>
      <c r="B2" s="11" t="s">
        <v>31</v>
      </c>
      <c r="C2" s="11" t="s">
        <v>1</v>
      </c>
      <c r="D2" s="11" t="s">
        <v>5</v>
      </c>
      <c r="E2" s="4"/>
      <c r="F2" s="40" t="s">
        <v>9</v>
      </c>
      <c r="G2" s="38">
        <v>2006</v>
      </c>
      <c r="H2" s="41"/>
    </row>
    <row r="3" spans="1:9" ht="19.5" x14ac:dyDescent="0.35">
      <c r="A3" s="5" t="s">
        <v>0</v>
      </c>
      <c r="B3" s="12"/>
      <c r="C3" s="12" t="s">
        <v>7</v>
      </c>
      <c r="D3" s="12" t="s">
        <v>8</v>
      </c>
      <c r="E3" s="7"/>
    </row>
    <row r="4" spans="1:9" x14ac:dyDescent="0.25">
      <c r="A4" s="33" t="s">
        <v>192</v>
      </c>
      <c r="B4" s="34">
        <v>2000</v>
      </c>
      <c r="C4" s="98">
        <f>IF(B4&lt;&gt;0,$H$1,"")</f>
        <v>1013.8429781871461</v>
      </c>
      <c r="D4" s="10">
        <f>(+B4*C4)/2000</f>
        <v>1013.8429781871461</v>
      </c>
    </row>
    <row r="5" spans="1:9" x14ac:dyDescent="0.25">
      <c r="A5" s="33" t="s">
        <v>193</v>
      </c>
      <c r="B5" s="34">
        <v>820</v>
      </c>
      <c r="C5" s="98">
        <f t="shared" ref="C5:C68" si="0">IF(B5&lt;&gt;0,$H$1,"")</f>
        <v>1013.8429781871461</v>
      </c>
      <c r="D5" s="10">
        <f t="shared" ref="D5:D68" si="1">(+B5*C5)/2000</f>
        <v>415.67562105672988</v>
      </c>
    </row>
    <row r="6" spans="1:9" x14ac:dyDescent="0.25">
      <c r="A6" s="33" t="s">
        <v>194</v>
      </c>
      <c r="B6" s="34">
        <v>102666.8</v>
      </c>
      <c r="C6" s="98">
        <f t="shared" si="0"/>
        <v>1013.8429781871461</v>
      </c>
      <c r="D6" s="10">
        <f t="shared" si="1"/>
        <v>52044.00713647205</v>
      </c>
    </row>
    <row r="7" spans="1:9" x14ac:dyDescent="0.25">
      <c r="A7" s="33" t="s">
        <v>172</v>
      </c>
      <c r="B7" s="34">
        <v>713907</v>
      </c>
      <c r="C7" s="98">
        <f t="shared" si="0"/>
        <v>1013.8429781871461</v>
      </c>
      <c r="D7" s="10">
        <f t="shared" si="1"/>
        <v>361894.79951432545</v>
      </c>
    </row>
    <row r="8" spans="1:9" x14ac:dyDescent="0.25">
      <c r="A8" s="33" t="s">
        <v>195</v>
      </c>
      <c r="B8" s="34">
        <v>7600</v>
      </c>
      <c r="C8" s="98">
        <f t="shared" si="0"/>
        <v>1013.8429781871461</v>
      </c>
      <c r="D8" s="10">
        <f t="shared" si="1"/>
        <v>3852.6033171111549</v>
      </c>
    </row>
    <row r="9" spans="1:9" x14ac:dyDescent="0.25">
      <c r="A9" s="33" t="s">
        <v>196</v>
      </c>
      <c r="B9" s="34">
        <v>48</v>
      </c>
      <c r="C9" s="98">
        <f t="shared" si="0"/>
        <v>1013.8429781871461</v>
      </c>
      <c r="D9" s="10">
        <f t="shared" si="1"/>
        <v>24.332231476491508</v>
      </c>
    </row>
    <row r="10" spans="1:9" x14ac:dyDescent="0.25">
      <c r="A10" s="33" t="s">
        <v>197</v>
      </c>
      <c r="B10" s="34">
        <v>22518</v>
      </c>
      <c r="C10" s="98">
        <f t="shared" si="0"/>
        <v>1013.8429781871461</v>
      </c>
      <c r="D10" s="10">
        <f t="shared" si="1"/>
        <v>11414.858091409078</v>
      </c>
    </row>
    <row r="11" spans="1:9" x14ac:dyDescent="0.25">
      <c r="A11" s="33" t="s">
        <v>198</v>
      </c>
      <c r="B11" s="34">
        <v>12360</v>
      </c>
      <c r="C11" s="98">
        <f t="shared" si="0"/>
        <v>1013.8429781871461</v>
      </c>
      <c r="D11" s="10">
        <f t="shared" si="1"/>
        <v>6265.5496051965629</v>
      </c>
    </row>
    <row r="12" spans="1:9" x14ac:dyDescent="0.25">
      <c r="A12" s="33" t="s">
        <v>200</v>
      </c>
      <c r="B12" s="34">
        <v>-2421278</v>
      </c>
      <c r="C12" s="98">
        <f t="shared" si="0"/>
        <v>1013.8429781871461</v>
      </c>
      <c r="D12" s="10">
        <f t="shared" si="1"/>
        <v>-1227397.8492695084</v>
      </c>
    </row>
    <row r="13" spans="1:9" x14ac:dyDescent="0.25">
      <c r="A13" s="33" t="s">
        <v>201</v>
      </c>
      <c r="B13" s="34">
        <v>181121</v>
      </c>
      <c r="C13" s="98">
        <f t="shared" si="0"/>
        <v>1013.8429781871461</v>
      </c>
      <c r="D13" s="10">
        <f t="shared" si="1"/>
        <v>91814.127026117043</v>
      </c>
    </row>
    <row r="14" spans="1:9" x14ac:dyDescent="0.25">
      <c r="A14" s="33" t="s">
        <v>175</v>
      </c>
      <c r="B14" s="34">
        <v>739012</v>
      </c>
      <c r="C14" s="98">
        <f t="shared" si="0"/>
        <v>1013.8429781871461</v>
      </c>
      <c r="D14" s="10">
        <f t="shared" si="1"/>
        <v>374621.06349801959</v>
      </c>
    </row>
    <row r="15" spans="1:9" x14ac:dyDescent="0.25">
      <c r="A15" s="33" t="s">
        <v>204</v>
      </c>
      <c r="B15" s="34">
        <v>4195</v>
      </c>
      <c r="C15" s="98">
        <f t="shared" si="0"/>
        <v>1013.8429781871461</v>
      </c>
      <c r="D15" s="10">
        <f t="shared" si="1"/>
        <v>2126.535646747539</v>
      </c>
    </row>
    <row r="16" spans="1:9" x14ac:dyDescent="0.25">
      <c r="A16" s="33" t="s">
        <v>176</v>
      </c>
      <c r="B16" s="34">
        <v>48374</v>
      </c>
      <c r="C16" s="98">
        <f t="shared" si="0"/>
        <v>1013.8429781871461</v>
      </c>
      <c r="D16" s="10">
        <f t="shared" si="1"/>
        <v>24521.820113412505</v>
      </c>
    </row>
    <row r="17" spans="1:4" x14ac:dyDescent="0.25">
      <c r="A17" s="33" t="s">
        <v>208</v>
      </c>
      <c r="B17" s="34">
        <v>40907</v>
      </c>
      <c r="C17" s="98">
        <f t="shared" si="0"/>
        <v>1013.8429781871461</v>
      </c>
      <c r="D17" s="10">
        <f t="shared" si="1"/>
        <v>20736.637354350791</v>
      </c>
    </row>
    <row r="18" spans="1:4" x14ac:dyDescent="0.25">
      <c r="A18" s="33" t="s">
        <v>209</v>
      </c>
      <c r="B18" s="34">
        <v>7400</v>
      </c>
      <c r="C18" s="98">
        <f t="shared" si="0"/>
        <v>1013.8429781871461</v>
      </c>
      <c r="D18" s="10">
        <f t="shared" si="1"/>
        <v>3751.2190192924404</v>
      </c>
    </row>
    <row r="19" spans="1:4" x14ac:dyDescent="0.25">
      <c r="A19" s="33" t="s">
        <v>210</v>
      </c>
      <c r="B19" s="34">
        <v>21330</v>
      </c>
      <c r="C19" s="98">
        <f t="shared" si="0"/>
        <v>1013.8429781871461</v>
      </c>
      <c r="D19" s="10">
        <f t="shared" si="1"/>
        <v>10812.635362365912</v>
      </c>
    </row>
    <row r="20" spans="1:4" x14ac:dyDescent="0.25">
      <c r="A20" s="33" t="s">
        <v>189</v>
      </c>
      <c r="B20" s="34">
        <v>117050</v>
      </c>
      <c r="C20" s="98">
        <f t="shared" si="0"/>
        <v>1013.8429781871461</v>
      </c>
      <c r="D20" s="10">
        <f t="shared" si="1"/>
        <v>59335.160298402727</v>
      </c>
    </row>
    <row r="21" spans="1:4" x14ac:dyDescent="0.25">
      <c r="A21" s="33" t="s">
        <v>213</v>
      </c>
      <c r="B21" s="34">
        <v>9785</v>
      </c>
      <c r="C21" s="98">
        <f t="shared" si="0"/>
        <v>1013.8429781871461</v>
      </c>
      <c r="D21" s="10">
        <f t="shared" si="1"/>
        <v>4960.2267707806113</v>
      </c>
    </row>
    <row r="22" spans="1:4" x14ac:dyDescent="0.25">
      <c r="A22" s="33" t="s">
        <v>214</v>
      </c>
      <c r="B22" s="34">
        <v>17475</v>
      </c>
      <c r="C22" s="98">
        <f t="shared" si="0"/>
        <v>1013.8429781871461</v>
      </c>
      <c r="D22" s="10">
        <f t="shared" si="1"/>
        <v>8858.4530219101889</v>
      </c>
    </row>
    <row r="23" spans="1:4" x14ac:dyDescent="0.25">
      <c r="A23" s="33" t="s">
        <v>177</v>
      </c>
      <c r="B23" s="34">
        <v>320060</v>
      </c>
      <c r="C23" s="98">
        <f t="shared" si="0"/>
        <v>1013.8429781871461</v>
      </c>
      <c r="D23" s="10">
        <f t="shared" si="1"/>
        <v>162245.291799289</v>
      </c>
    </row>
    <row r="24" spans="1:4" x14ac:dyDescent="0.25">
      <c r="A24" s="33" t="s">
        <v>217</v>
      </c>
      <c r="B24" s="34">
        <v>27200</v>
      </c>
      <c r="C24" s="98">
        <f t="shared" si="0"/>
        <v>1013.8429781871461</v>
      </c>
      <c r="D24" s="10">
        <f t="shared" si="1"/>
        <v>13788.264503345186</v>
      </c>
    </row>
    <row r="25" spans="1:4" x14ac:dyDescent="0.25">
      <c r="A25" s="33" t="s">
        <v>179</v>
      </c>
      <c r="B25" s="34">
        <v>292497</v>
      </c>
      <c r="C25" s="98">
        <f t="shared" si="0"/>
        <v>1013.8429781871461</v>
      </c>
      <c r="D25" s="10">
        <f t="shared" si="1"/>
        <v>148273.01479540282</v>
      </c>
    </row>
    <row r="26" spans="1:4" x14ac:dyDescent="0.25">
      <c r="A26" s="33" t="s">
        <v>221</v>
      </c>
      <c r="B26" s="34">
        <v>175</v>
      </c>
      <c r="C26" s="98">
        <f t="shared" si="0"/>
        <v>1013.8429781871461</v>
      </c>
      <c r="D26" s="10">
        <f t="shared" si="1"/>
        <v>88.711260591375279</v>
      </c>
    </row>
    <row r="27" spans="1:4" x14ac:dyDescent="0.25">
      <c r="A27" s="33" t="s">
        <v>222</v>
      </c>
      <c r="B27" s="34">
        <v>63703</v>
      </c>
      <c r="C27" s="98">
        <f t="shared" si="0"/>
        <v>1013.8429781871461</v>
      </c>
      <c r="D27" s="10">
        <f t="shared" si="1"/>
        <v>32292.419619727883</v>
      </c>
    </row>
    <row r="28" spans="1:4" x14ac:dyDescent="0.25">
      <c r="A28" s="33" t="s">
        <v>223</v>
      </c>
      <c r="B28" s="34">
        <v>63650</v>
      </c>
      <c r="C28" s="98">
        <f t="shared" si="0"/>
        <v>1013.8429781871461</v>
      </c>
      <c r="D28" s="10">
        <f t="shared" si="1"/>
        <v>32265.552780805923</v>
      </c>
    </row>
    <row r="29" spans="1:4" x14ac:dyDescent="0.25">
      <c r="A29" s="33" t="s">
        <v>224</v>
      </c>
      <c r="B29" s="34">
        <v>16400</v>
      </c>
      <c r="C29" s="98">
        <f t="shared" si="0"/>
        <v>1013.8429781871461</v>
      </c>
      <c r="D29" s="10">
        <f t="shared" si="1"/>
        <v>8313.5124211345974</v>
      </c>
    </row>
    <row r="30" spans="1:4" x14ac:dyDescent="0.25">
      <c r="A30" s="33" t="s">
        <v>225</v>
      </c>
      <c r="B30" s="34">
        <v>15035</v>
      </c>
      <c r="C30" s="98">
        <f t="shared" si="0"/>
        <v>1013.8429781871461</v>
      </c>
      <c r="D30" s="10">
        <f t="shared" si="1"/>
        <v>7621.564588521871</v>
      </c>
    </row>
    <row r="31" spans="1:4" x14ac:dyDescent="0.25">
      <c r="A31" s="33" t="s">
        <v>226</v>
      </c>
      <c r="B31" s="34">
        <v>89108</v>
      </c>
      <c r="C31" s="98">
        <f t="shared" si="0"/>
        <v>1013.8429781871461</v>
      </c>
      <c r="D31" s="10">
        <f t="shared" si="1"/>
        <v>45170.760050150107</v>
      </c>
    </row>
    <row r="32" spans="1:4" x14ac:dyDescent="0.25">
      <c r="A32" s="33" t="s">
        <v>227</v>
      </c>
      <c r="B32" s="34">
        <v>21400</v>
      </c>
      <c r="C32" s="98">
        <f t="shared" si="0"/>
        <v>1013.8429781871461</v>
      </c>
      <c r="D32" s="10">
        <f t="shared" si="1"/>
        <v>10848.119866602463</v>
      </c>
    </row>
    <row r="33" spans="1:4" x14ac:dyDescent="0.25">
      <c r="A33" s="33" t="s">
        <v>230</v>
      </c>
      <c r="B33" s="34">
        <v>400182</v>
      </c>
      <c r="C33" s="98">
        <f t="shared" si="0"/>
        <v>1013.8429781871461</v>
      </c>
      <c r="D33" s="10">
        <f t="shared" si="1"/>
        <v>202860.85534844425</v>
      </c>
    </row>
    <row r="34" spans="1:4" x14ac:dyDescent="0.25">
      <c r="A34" s="33" t="s">
        <v>231</v>
      </c>
      <c r="B34" s="34">
        <v>84230</v>
      </c>
      <c r="C34" s="98">
        <f t="shared" si="0"/>
        <v>1013.8429781871461</v>
      </c>
      <c r="D34" s="10">
        <f t="shared" si="1"/>
        <v>42697.997026351652</v>
      </c>
    </row>
    <row r="35" spans="1:4" x14ac:dyDescent="0.25">
      <c r="A35" s="33" t="s">
        <v>232</v>
      </c>
      <c r="B35" s="34">
        <v>99558</v>
      </c>
      <c r="C35" s="98">
        <f t="shared" si="0"/>
        <v>1013.8429781871461</v>
      </c>
      <c r="D35" s="10">
        <f t="shared" si="1"/>
        <v>50468.089611177944</v>
      </c>
    </row>
    <row r="36" spans="1:4" x14ac:dyDescent="0.25">
      <c r="A36" s="33" t="s">
        <v>235</v>
      </c>
      <c r="B36" s="34">
        <v>20000</v>
      </c>
      <c r="C36" s="98">
        <f t="shared" si="0"/>
        <v>1013.8429781871461</v>
      </c>
      <c r="D36" s="10">
        <f t="shared" si="1"/>
        <v>10138.42978187146</v>
      </c>
    </row>
    <row r="37" spans="1:4" x14ac:dyDescent="0.25">
      <c r="A37" s="33" t="s">
        <v>236</v>
      </c>
      <c r="B37" s="34">
        <v>10000</v>
      </c>
      <c r="C37" s="98">
        <f t="shared" si="0"/>
        <v>1013.8429781871461</v>
      </c>
      <c r="D37" s="10">
        <f t="shared" si="1"/>
        <v>5069.2148909357302</v>
      </c>
    </row>
    <row r="38" spans="1:4" x14ac:dyDescent="0.25">
      <c r="A38" s="33" t="s">
        <v>237</v>
      </c>
      <c r="B38" s="34">
        <v>39.591999999999999</v>
      </c>
      <c r="C38" s="98">
        <f t="shared" si="0"/>
        <v>1013.8429781871461</v>
      </c>
      <c r="D38" s="10">
        <f t="shared" si="1"/>
        <v>20.070035596192742</v>
      </c>
    </row>
    <row r="39" spans="1:4" x14ac:dyDescent="0.25">
      <c r="A39" s="33" t="s">
        <v>238</v>
      </c>
      <c r="B39" s="34">
        <v>31207</v>
      </c>
      <c r="C39" s="98">
        <f t="shared" si="0"/>
        <v>1013.8429781871461</v>
      </c>
      <c r="D39" s="10">
        <f t="shared" si="1"/>
        <v>15819.498910143133</v>
      </c>
    </row>
    <row r="40" spans="1:4" x14ac:dyDescent="0.25">
      <c r="A40" s="33" t="s">
        <v>239</v>
      </c>
      <c r="B40" s="34">
        <v>7800</v>
      </c>
      <c r="C40" s="98">
        <f t="shared" si="0"/>
        <v>1013.8429781871461</v>
      </c>
      <c r="D40" s="10">
        <f t="shared" si="1"/>
        <v>3953.9876149298698</v>
      </c>
    </row>
    <row r="41" spans="1:4" x14ac:dyDescent="0.25">
      <c r="A41" s="33" t="s">
        <v>240</v>
      </c>
      <c r="B41" s="34">
        <v>1275</v>
      </c>
      <c r="C41" s="98">
        <f t="shared" si="0"/>
        <v>1013.8429781871461</v>
      </c>
      <c r="D41" s="10">
        <f t="shared" si="1"/>
        <v>646.32489859430564</v>
      </c>
    </row>
    <row r="42" spans="1:4" x14ac:dyDescent="0.25">
      <c r="A42" s="33" t="s">
        <v>242</v>
      </c>
      <c r="B42" s="34">
        <v>83200</v>
      </c>
      <c r="C42" s="98">
        <f t="shared" si="0"/>
        <v>1013.8429781871461</v>
      </c>
      <c r="D42" s="10">
        <f t="shared" si="1"/>
        <v>42175.86789258528</v>
      </c>
    </row>
    <row r="43" spans="1:4" x14ac:dyDescent="0.25">
      <c r="A43" s="33" t="s">
        <v>243</v>
      </c>
      <c r="B43" s="34">
        <v>24400</v>
      </c>
      <c r="C43" s="98">
        <f t="shared" si="0"/>
        <v>1013.8429781871461</v>
      </c>
      <c r="D43" s="10">
        <f t="shared" si="1"/>
        <v>12368.884333883181</v>
      </c>
    </row>
    <row r="44" spans="1:4" x14ac:dyDescent="0.25">
      <c r="A44" s="33" t="s">
        <v>244</v>
      </c>
      <c r="B44" s="34">
        <v>852</v>
      </c>
      <c r="C44" s="98">
        <f t="shared" si="0"/>
        <v>1013.8429781871461</v>
      </c>
      <c r="D44" s="10">
        <f t="shared" si="1"/>
        <v>431.89710870772421</v>
      </c>
    </row>
    <row r="45" spans="1:4" x14ac:dyDescent="0.25">
      <c r="A45" s="33" t="s">
        <v>180</v>
      </c>
      <c r="B45" s="34">
        <v>276663</v>
      </c>
      <c r="C45" s="98">
        <f t="shared" si="0"/>
        <v>1013.8429781871461</v>
      </c>
      <c r="D45" s="10">
        <f t="shared" si="1"/>
        <v>140246.4199370952</v>
      </c>
    </row>
    <row r="46" spans="1:4" x14ac:dyDescent="0.25">
      <c r="A46" s="33" t="s">
        <v>245</v>
      </c>
      <c r="B46" s="34">
        <v>1315</v>
      </c>
      <c r="C46" s="98">
        <f t="shared" si="0"/>
        <v>1013.8429781871461</v>
      </c>
      <c r="D46" s="10">
        <f t="shared" si="1"/>
        <v>666.60175815804848</v>
      </c>
    </row>
    <row r="47" spans="1:4" x14ac:dyDescent="0.25">
      <c r="A47" s="33" t="s">
        <v>247</v>
      </c>
      <c r="B47" s="34">
        <v>3200</v>
      </c>
      <c r="C47" s="98">
        <f t="shared" si="0"/>
        <v>1013.8429781871461</v>
      </c>
      <c r="D47" s="10">
        <f t="shared" si="1"/>
        <v>1622.1487650994336</v>
      </c>
    </row>
    <row r="48" spans="1:4" x14ac:dyDescent="0.25">
      <c r="A48" s="33" t="s">
        <v>249</v>
      </c>
      <c r="B48" s="34">
        <v>29225</v>
      </c>
      <c r="C48" s="98">
        <f t="shared" si="0"/>
        <v>1013.8429781871461</v>
      </c>
      <c r="D48" s="10">
        <f t="shared" si="1"/>
        <v>14814.780518759671</v>
      </c>
    </row>
    <row r="49" spans="1:4" x14ac:dyDescent="0.25">
      <c r="A49" s="33" t="s">
        <v>251</v>
      </c>
      <c r="B49" s="34">
        <v>1342</v>
      </c>
      <c r="C49" s="98">
        <f t="shared" si="0"/>
        <v>1013.8429781871461</v>
      </c>
      <c r="D49" s="10">
        <f t="shared" si="1"/>
        <v>680.28863836357493</v>
      </c>
    </row>
    <row r="50" spans="1:4" x14ac:dyDescent="0.25">
      <c r="A50" s="33" t="s">
        <v>252</v>
      </c>
      <c r="B50" s="34">
        <v>9629</v>
      </c>
      <c r="C50" s="98">
        <f t="shared" si="0"/>
        <v>1013.8429781871461</v>
      </c>
      <c r="D50" s="10">
        <f t="shared" si="1"/>
        <v>4881.1470184820146</v>
      </c>
    </row>
    <row r="51" spans="1:4" x14ac:dyDescent="0.25">
      <c r="A51" s="33" t="s">
        <v>253</v>
      </c>
      <c r="B51" s="34">
        <v>1064</v>
      </c>
      <c r="C51" s="98">
        <f t="shared" si="0"/>
        <v>1013.8429781871461</v>
      </c>
      <c r="D51" s="10">
        <f t="shared" si="1"/>
        <v>539.36446439556175</v>
      </c>
    </row>
    <row r="52" spans="1:4" x14ac:dyDescent="0.25">
      <c r="A52" s="33" t="s">
        <v>254</v>
      </c>
      <c r="B52" s="34">
        <v>3761</v>
      </c>
      <c r="C52" s="98">
        <f t="shared" si="0"/>
        <v>1013.8429781871461</v>
      </c>
      <c r="D52" s="10">
        <f t="shared" si="1"/>
        <v>1906.5317204809282</v>
      </c>
    </row>
    <row r="53" spans="1:4" x14ac:dyDescent="0.25">
      <c r="A53" s="33" t="s">
        <v>255</v>
      </c>
      <c r="B53" s="34">
        <v>181909</v>
      </c>
      <c r="C53" s="98">
        <f t="shared" si="0"/>
        <v>1013.8429781871461</v>
      </c>
      <c r="D53" s="10">
        <f t="shared" si="1"/>
        <v>92213.581159522771</v>
      </c>
    </row>
    <row r="54" spans="1:4" x14ac:dyDescent="0.25">
      <c r="A54" s="33" t="s">
        <v>257</v>
      </c>
      <c r="B54" s="34">
        <v>352506</v>
      </c>
      <c r="C54" s="98">
        <f t="shared" si="0"/>
        <v>1013.8429781871461</v>
      </c>
      <c r="D54" s="10">
        <f t="shared" si="1"/>
        <v>178692.86643441906</v>
      </c>
    </row>
    <row r="55" spans="1:4" x14ac:dyDescent="0.25">
      <c r="A55" s="33" t="s">
        <v>258</v>
      </c>
      <c r="B55" s="34">
        <v>24945</v>
      </c>
      <c r="C55" s="98">
        <f t="shared" si="0"/>
        <v>1013.8429781871461</v>
      </c>
      <c r="D55" s="10">
        <f t="shared" si="1"/>
        <v>12645.15654543918</v>
      </c>
    </row>
    <row r="56" spans="1:4" x14ac:dyDescent="0.25">
      <c r="A56" s="33" t="s">
        <v>259</v>
      </c>
      <c r="B56" s="34">
        <v>889475</v>
      </c>
      <c r="C56" s="98">
        <f t="shared" si="0"/>
        <v>1013.8429781871461</v>
      </c>
      <c r="D56" s="10">
        <f t="shared" si="1"/>
        <v>450893.99151150585</v>
      </c>
    </row>
    <row r="57" spans="1:4" x14ac:dyDescent="0.25">
      <c r="A57" s="33" t="s">
        <v>261</v>
      </c>
      <c r="B57" s="34">
        <v>500872</v>
      </c>
      <c r="C57" s="98">
        <f t="shared" si="0"/>
        <v>1013.8429781871461</v>
      </c>
      <c r="D57" s="10">
        <f t="shared" si="1"/>
        <v>253902.78008527608</v>
      </c>
    </row>
    <row r="58" spans="1:4" x14ac:dyDescent="0.25">
      <c r="A58" s="33" t="s">
        <v>183</v>
      </c>
      <c r="B58" s="34">
        <v>504275</v>
      </c>
      <c r="C58" s="98">
        <f t="shared" si="0"/>
        <v>1013.8429781871461</v>
      </c>
      <c r="D58" s="10">
        <f t="shared" si="1"/>
        <v>255627.83391266156</v>
      </c>
    </row>
    <row r="59" spans="1:4" x14ac:dyDescent="0.25">
      <c r="A59" s="33" t="s">
        <v>262</v>
      </c>
      <c r="B59" s="34">
        <v>41793</v>
      </c>
      <c r="C59" s="98">
        <f t="shared" si="0"/>
        <v>1013.8429781871461</v>
      </c>
      <c r="D59" s="10">
        <f t="shared" si="1"/>
        <v>21185.769793687698</v>
      </c>
    </row>
    <row r="60" spans="1:4" x14ac:dyDescent="0.25">
      <c r="A60" s="33" t="s">
        <v>263</v>
      </c>
      <c r="B60" s="34">
        <v>19800</v>
      </c>
      <c r="C60" s="98">
        <f t="shared" si="0"/>
        <v>1013.8429781871461</v>
      </c>
      <c r="D60" s="10">
        <f t="shared" si="1"/>
        <v>10037.045484052745</v>
      </c>
    </row>
    <row r="61" spans="1:4" x14ac:dyDescent="0.25">
      <c r="A61" s="33" t="s">
        <v>264</v>
      </c>
      <c r="B61" s="34">
        <v>121336</v>
      </c>
      <c r="C61" s="98">
        <f t="shared" si="0"/>
        <v>1013.8429781871461</v>
      </c>
      <c r="D61" s="10">
        <f t="shared" si="1"/>
        <v>61507.825800657782</v>
      </c>
    </row>
    <row r="62" spans="1:4" x14ac:dyDescent="0.25">
      <c r="A62" s="33" t="s">
        <v>265</v>
      </c>
      <c r="B62" s="34">
        <v>2903</v>
      </c>
      <c r="C62" s="98">
        <f t="shared" si="0"/>
        <v>1013.8429781871461</v>
      </c>
      <c r="D62" s="10">
        <f t="shared" si="1"/>
        <v>1471.5930828386424</v>
      </c>
    </row>
    <row r="63" spans="1:4" x14ac:dyDescent="0.25">
      <c r="A63" s="33" t="s">
        <v>266</v>
      </c>
      <c r="B63" s="34">
        <v>5025</v>
      </c>
      <c r="C63" s="98">
        <f t="shared" si="0"/>
        <v>1013.8429781871461</v>
      </c>
      <c r="D63" s="10">
        <f t="shared" si="1"/>
        <v>2547.2804826952047</v>
      </c>
    </row>
    <row r="64" spans="1:4" x14ac:dyDescent="0.25">
      <c r="A64" s="33" t="s">
        <v>267</v>
      </c>
      <c r="B64" s="34">
        <v>6904</v>
      </c>
      <c r="C64" s="98">
        <f t="shared" si="0"/>
        <v>1013.8429781871461</v>
      </c>
      <c r="D64" s="10">
        <f t="shared" si="1"/>
        <v>3499.7859607020282</v>
      </c>
    </row>
    <row r="65" spans="1:4" x14ac:dyDescent="0.25">
      <c r="A65" s="33" t="s">
        <v>184</v>
      </c>
      <c r="B65" s="34">
        <v>172078</v>
      </c>
      <c r="C65" s="98">
        <f t="shared" si="0"/>
        <v>1013.8429781871461</v>
      </c>
      <c r="D65" s="10">
        <f t="shared" si="1"/>
        <v>87230.036000243854</v>
      </c>
    </row>
    <row r="66" spans="1:4" x14ac:dyDescent="0.25">
      <c r="A66" s="33" t="s">
        <v>268</v>
      </c>
      <c r="B66" s="34">
        <v>1226010</v>
      </c>
      <c r="C66" s="98">
        <f t="shared" si="0"/>
        <v>1013.8429781871461</v>
      </c>
      <c r="D66" s="10">
        <f t="shared" si="1"/>
        <v>621490.81484361144</v>
      </c>
    </row>
    <row r="67" spans="1:4" x14ac:dyDescent="0.25">
      <c r="A67" s="33" t="s">
        <v>185</v>
      </c>
      <c r="B67" s="34">
        <v>730645</v>
      </c>
      <c r="C67" s="98">
        <f t="shared" si="0"/>
        <v>1013.8429781871461</v>
      </c>
      <c r="D67" s="10">
        <f t="shared" si="1"/>
        <v>370379.65139877365</v>
      </c>
    </row>
    <row r="68" spans="1:4" x14ac:dyDescent="0.25">
      <c r="A68" s="33" t="s">
        <v>270</v>
      </c>
      <c r="B68" s="34">
        <v>26329</v>
      </c>
      <c r="C68" s="98">
        <f t="shared" si="0"/>
        <v>1013.8429781871461</v>
      </c>
      <c r="D68" s="10">
        <f t="shared" si="1"/>
        <v>13346.735886344684</v>
      </c>
    </row>
    <row r="69" spans="1:4" x14ac:dyDescent="0.25">
      <c r="A69" s="33" t="s">
        <v>271</v>
      </c>
      <c r="B69" s="34">
        <v>448</v>
      </c>
      <c r="C69" s="98">
        <f t="shared" ref="C69:C132" si="2">IF(B69&lt;&gt;0,$H$1,"")</f>
        <v>1013.8429781871461</v>
      </c>
      <c r="D69" s="10">
        <f t="shared" ref="D69:D132" si="3">(+B69*C69)/2000</f>
        <v>227.1008271139207</v>
      </c>
    </row>
    <row r="70" spans="1:4" x14ac:dyDescent="0.25">
      <c r="A70" s="33" t="s">
        <v>272</v>
      </c>
      <c r="B70" s="34">
        <v>80505</v>
      </c>
      <c r="C70" s="98">
        <f t="shared" si="2"/>
        <v>1013.8429781871461</v>
      </c>
      <c r="D70" s="10">
        <f t="shared" si="3"/>
        <v>40809.714479478098</v>
      </c>
    </row>
    <row r="71" spans="1:4" x14ac:dyDescent="0.25">
      <c r="A71" s="33" t="s">
        <v>273</v>
      </c>
      <c r="B71" s="34">
        <v>29334</v>
      </c>
      <c r="C71" s="98">
        <f t="shared" si="2"/>
        <v>1013.8429781871461</v>
      </c>
      <c r="D71" s="10">
        <f t="shared" si="3"/>
        <v>14870.034961070871</v>
      </c>
    </row>
    <row r="72" spans="1:4" x14ac:dyDescent="0.25">
      <c r="A72" s="33" t="s">
        <v>274</v>
      </c>
      <c r="B72" s="34">
        <v>116640</v>
      </c>
      <c r="C72" s="98">
        <f t="shared" si="2"/>
        <v>1013.8429781871461</v>
      </c>
      <c r="D72" s="10">
        <f t="shared" si="3"/>
        <v>59127.322487874357</v>
      </c>
    </row>
    <row r="73" spans="1:4" x14ac:dyDescent="0.25">
      <c r="A73" s="33" t="s">
        <v>275</v>
      </c>
      <c r="B73" s="34">
        <v>21787.52</v>
      </c>
      <c r="C73" s="98">
        <f t="shared" si="2"/>
        <v>1013.8429781871461</v>
      </c>
      <c r="D73" s="10">
        <f t="shared" si="3"/>
        <v>11044.562082056005</v>
      </c>
    </row>
    <row r="74" spans="1:4" x14ac:dyDescent="0.25">
      <c r="A74" s="33" t="s">
        <v>186</v>
      </c>
      <c r="B74" s="34">
        <v>107444</v>
      </c>
      <c r="C74" s="98">
        <f t="shared" si="2"/>
        <v>1013.8429781871461</v>
      </c>
      <c r="D74" s="10">
        <f t="shared" si="3"/>
        <v>54465.672474169856</v>
      </c>
    </row>
    <row r="75" spans="1:4" x14ac:dyDescent="0.25">
      <c r="A75" s="33" t="s">
        <v>277</v>
      </c>
      <c r="B75" s="34">
        <v>1537</v>
      </c>
      <c r="C75" s="98">
        <f t="shared" si="2"/>
        <v>1013.8429781871461</v>
      </c>
      <c r="D75" s="10">
        <f t="shared" si="3"/>
        <v>779.13832873682179</v>
      </c>
    </row>
    <row r="76" spans="1:4" x14ac:dyDescent="0.25">
      <c r="A76" s="33" t="s">
        <v>188</v>
      </c>
      <c r="B76" s="34">
        <v>1162941</v>
      </c>
      <c r="C76" s="98">
        <f t="shared" si="2"/>
        <v>1013.8429781871461</v>
      </c>
      <c r="D76" s="10">
        <f t="shared" si="3"/>
        <v>589519.78344796901</v>
      </c>
    </row>
    <row r="77" spans="1:4" x14ac:dyDescent="0.25">
      <c r="A77" s="33" t="s">
        <v>282</v>
      </c>
      <c r="B77" s="34">
        <v>3828</v>
      </c>
      <c r="C77" s="98">
        <f t="shared" si="2"/>
        <v>1013.8429781871461</v>
      </c>
      <c r="D77" s="10">
        <f t="shared" si="3"/>
        <v>1940.4954602501975</v>
      </c>
    </row>
    <row r="78" spans="1:4" x14ac:dyDescent="0.25">
      <c r="A78" s="33" t="s">
        <v>284</v>
      </c>
      <c r="B78" s="34">
        <v>13371</v>
      </c>
      <c r="C78" s="98">
        <f t="shared" si="2"/>
        <v>1013.8429781871461</v>
      </c>
      <c r="D78" s="10">
        <f t="shared" si="3"/>
        <v>6778.0472306701649</v>
      </c>
    </row>
    <row r="79" spans="1:4" x14ac:dyDescent="0.25">
      <c r="A79" s="33" t="s">
        <v>285</v>
      </c>
      <c r="B79" s="34">
        <v>100496</v>
      </c>
      <c r="C79" s="98">
        <f t="shared" si="2"/>
        <v>1013.8429781871461</v>
      </c>
      <c r="D79" s="10">
        <f t="shared" si="3"/>
        <v>50943.581967947714</v>
      </c>
    </row>
    <row r="80" spans="1:4" x14ac:dyDescent="0.25">
      <c r="A80" s="33" t="s">
        <v>287</v>
      </c>
      <c r="B80" s="34">
        <v>473</v>
      </c>
      <c r="C80" s="98">
        <f t="shared" si="2"/>
        <v>1013.8429781871461</v>
      </c>
      <c r="D80" s="10">
        <f t="shared" si="3"/>
        <v>239.77386434126004</v>
      </c>
    </row>
    <row r="81" spans="1:4" x14ac:dyDescent="0.25">
      <c r="A81" s="33" t="s">
        <v>288</v>
      </c>
      <c r="B81" s="34">
        <v>144854</v>
      </c>
      <c r="C81" s="98">
        <f t="shared" si="2"/>
        <v>1013.8429781871461</v>
      </c>
      <c r="D81" s="10">
        <f t="shared" si="3"/>
        <v>73429.605381160422</v>
      </c>
    </row>
    <row r="82" spans="1:4" x14ac:dyDescent="0.25">
      <c r="A82" s="33" t="s">
        <v>289</v>
      </c>
      <c r="B82" s="34">
        <v>425</v>
      </c>
      <c r="C82" s="98">
        <f t="shared" si="2"/>
        <v>1013.8429781871461</v>
      </c>
      <c r="D82" s="10">
        <f t="shared" si="3"/>
        <v>215.44163286476854</v>
      </c>
    </row>
    <row r="83" spans="1:4" x14ac:dyDescent="0.25">
      <c r="A83" s="33" t="s">
        <v>172</v>
      </c>
      <c r="B83" s="34">
        <v>305656</v>
      </c>
      <c r="C83" s="98">
        <f t="shared" si="2"/>
        <v>1013.8429781871461</v>
      </c>
      <c r="D83" s="10">
        <f t="shared" si="3"/>
        <v>154943.59467038515</v>
      </c>
    </row>
    <row r="84" spans="1:4" x14ac:dyDescent="0.25">
      <c r="A84" s="33" t="s">
        <v>174</v>
      </c>
      <c r="B84" s="34">
        <v>2816</v>
      </c>
      <c r="C84" s="98">
        <f t="shared" si="2"/>
        <v>1013.8429781871461</v>
      </c>
      <c r="D84" s="10">
        <f t="shared" si="3"/>
        <v>1427.4909132875016</v>
      </c>
    </row>
    <row r="85" spans="1:4" x14ac:dyDescent="0.25">
      <c r="A85" s="33" t="s">
        <v>175</v>
      </c>
      <c r="B85" s="34">
        <v>102038</v>
      </c>
      <c r="C85" s="98">
        <f t="shared" si="2"/>
        <v>1013.8429781871461</v>
      </c>
      <c r="D85" s="10">
        <f t="shared" si="3"/>
        <v>51725.254904130001</v>
      </c>
    </row>
    <row r="86" spans="1:4" x14ac:dyDescent="0.25">
      <c r="A86" s="33" t="s">
        <v>176</v>
      </c>
      <c r="B86" s="34">
        <v>30396</v>
      </c>
      <c r="C86" s="98">
        <f t="shared" si="2"/>
        <v>1013.8429781871461</v>
      </c>
      <c r="D86" s="10">
        <f t="shared" si="3"/>
        <v>15408.385582488247</v>
      </c>
    </row>
    <row r="87" spans="1:4" x14ac:dyDescent="0.25">
      <c r="A87" s="33" t="s">
        <v>178</v>
      </c>
      <c r="B87" s="34">
        <v>-24937.741999999998</v>
      </c>
      <c r="C87" s="98">
        <f t="shared" si="2"/>
        <v>1013.8429781871461</v>
      </c>
      <c r="D87" s="10">
        <f t="shared" si="3"/>
        <v>-12641.477309271337</v>
      </c>
    </row>
    <row r="88" spans="1:4" x14ac:dyDescent="0.25">
      <c r="A88" s="33" t="s">
        <v>179</v>
      </c>
      <c r="B88" s="34">
        <v>75</v>
      </c>
      <c r="C88" s="98">
        <f t="shared" si="2"/>
        <v>1013.8429781871461</v>
      </c>
      <c r="D88" s="10">
        <f t="shared" si="3"/>
        <v>38.019111682017972</v>
      </c>
    </row>
    <row r="89" spans="1:4" x14ac:dyDescent="0.25">
      <c r="A89" s="33" t="s">
        <v>181</v>
      </c>
      <c r="B89" s="34">
        <v>412904</v>
      </c>
      <c r="C89" s="98">
        <f t="shared" si="2"/>
        <v>1013.8429781871461</v>
      </c>
      <c r="D89" s="10">
        <f t="shared" si="3"/>
        <v>209309.91053269268</v>
      </c>
    </row>
    <row r="90" spans="1:4" x14ac:dyDescent="0.25">
      <c r="A90" s="33" t="s">
        <v>182</v>
      </c>
      <c r="B90" s="34">
        <v>610192</v>
      </c>
      <c r="C90" s="98">
        <f t="shared" si="2"/>
        <v>1013.8429781871461</v>
      </c>
      <c r="D90" s="10">
        <f t="shared" si="3"/>
        <v>309319.43727298552</v>
      </c>
    </row>
    <row r="91" spans="1:4" x14ac:dyDescent="0.25">
      <c r="A91" s="33" t="s">
        <v>184</v>
      </c>
      <c r="B91" s="34">
        <v>78400</v>
      </c>
      <c r="C91" s="98">
        <f t="shared" si="2"/>
        <v>1013.8429781871461</v>
      </c>
      <c r="D91" s="10">
        <f t="shared" si="3"/>
        <v>39742.644744936122</v>
      </c>
    </row>
    <row r="92" spans="1:4" x14ac:dyDescent="0.25">
      <c r="A92" s="33" t="s">
        <v>186</v>
      </c>
      <c r="B92" s="34">
        <v>24876</v>
      </c>
      <c r="C92" s="98">
        <f t="shared" si="2"/>
        <v>1013.8429781871461</v>
      </c>
      <c r="D92" s="10">
        <f t="shared" si="3"/>
        <v>12610.178962691722</v>
      </c>
    </row>
    <row r="93" spans="1:4" x14ac:dyDescent="0.25">
      <c r="A93" s="33" t="s">
        <v>187</v>
      </c>
      <c r="B93" s="34">
        <v>210</v>
      </c>
      <c r="C93" s="98">
        <f t="shared" si="2"/>
        <v>1013.8429781871461</v>
      </c>
      <c r="D93" s="10">
        <f t="shared" si="3"/>
        <v>106.45351270965034</v>
      </c>
    </row>
    <row r="94" spans="1:4" x14ac:dyDescent="0.25">
      <c r="A94" s="33" t="s">
        <v>188</v>
      </c>
      <c r="B94" s="34">
        <v>895958</v>
      </c>
      <c r="C94" s="98">
        <f t="shared" si="2"/>
        <v>1013.8429781871461</v>
      </c>
      <c r="D94" s="10">
        <f t="shared" si="3"/>
        <v>454180.36352529947</v>
      </c>
    </row>
    <row r="95" spans="1:4" x14ac:dyDescent="0.25">
      <c r="A95" s="33" t="s">
        <v>172</v>
      </c>
      <c r="B95" s="34">
        <v>-309216</v>
      </c>
      <c r="C95" s="98">
        <f t="shared" si="2"/>
        <v>1013.8429781871461</v>
      </c>
      <c r="D95" s="10">
        <f t="shared" si="3"/>
        <v>-156748.23517155828</v>
      </c>
    </row>
    <row r="96" spans="1:4" x14ac:dyDescent="0.25">
      <c r="A96" s="33" t="s">
        <v>174</v>
      </c>
      <c r="B96" s="34">
        <v>-3057</v>
      </c>
      <c r="C96" s="98">
        <f t="shared" si="2"/>
        <v>1013.8429781871461</v>
      </c>
      <c r="D96" s="10">
        <f t="shared" si="3"/>
        <v>-1549.6589921590528</v>
      </c>
    </row>
    <row r="97" spans="1:4" x14ac:dyDescent="0.25">
      <c r="A97" s="33" t="s">
        <v>175</v>
      </c>
      <c r="B97" s="34">
        <v>-103655</v>
      </c>
      <c r="C97" s="98">
        <f t="shared" si="2"/>
        <v>1013.8429781871461</v>
      </c>
      <c r="D97" s="10">
        <f t="shared" si="3"/>
        <v>-52544.946951994316</v>
      </c>
    </row>
    <row r="98" spans="1:4" x14ac:dyDescent="0.25">
      <c r="A98" s="33" t="s">
        <v>176</v>
      </c>
      <c r="B98" s="34">
        <v>-31096</v>
      </c>
      <c r="C98" s="98">
        <f t="shared" si="2"/>
        <v>1013.8429781871461</v>
      </c>
      <c r="D98" s="10">
        <f t="shared" si="3"/>
        <v>-15763.230624853746</v>
      </c>
    </row>
    <row r="99" spans="1:4" x14ac:dyDescent="0.25">
      <c r="A99" s="33" t="s">
        <v>179</v>
      </c>
      <c r="B99" s="34">
        <v>-75</v>
      </c>
      <c r="C99" s="98">
        <f t="shared" si="2"/>
        <v>1013.8429781871461</v>
      </c>
      <c r="D99" s="10">
        <f t="shared" si="3"/>
        <v>-38.019111682017972</v>
      </c>
    </row>
    <row r="100" spans="1:4" x14ac:dyDescent="0.25">
      <c r="A100" s="33" t="s">
        <v>181</v>
      </c>
      <c r="B100" s="34">
        <v>-413000</v>
      </c>
      <c r="C100" s="98">
        <f t="shared" si="2"/>
        <v>1013.8429781871461</v>
      </c>
      <c r="D100" s="10">
        <f t="shared" si="3"/>
        <v>-209358.57499564567</v>
      </c>
    </row>
    <row r="101" spans="1:4" x14ac:dyDescent="0.25">
      <c r="A101" s="33" t="s">
        <v>182</v>
      </c>
      <c r="B101" s="34">
        <v>-610192</v>
      </c>
      <c r="C101" s="98">
        <f t="shared" si="2"/>
        <v>1013.8429781871461</v>
      </c>
      <c r="D101" s="10">
        <f t="shared" si="3"/>
        <v>-309319.43727298552</v>
      </c>
    </row>
    <row r="102" spans="1:4" x14ac:dyDescent="0.25">
      <c r="A102" s="33" t="s">
        <v>184</v>
      </c>
      <c r="B102" s="34">
        <v>-78400</v>
      </c>
      <c r="C102" s="98">
        <f t="shared" si="2"/>
        <v>1013.8429781871461</v>
      </c>
      <c r="D102" s="10">
        <f t="shared" si="3"/>
        <v>-39742.644744936122</v>
      </c>
    </row>
    <row r="103" spans="1:4" x14ac:dyDescent="0.25">
      <c r="A103" s="33" t="s">
        <v>191</v>
      </c>
      <c r="B103" s="34">
        <v>-21</v>
      </c>
      <c r="C103" s="98">
        <f t="shared" si="2"/>
        <v>1013.8429781871461</v>
      </c>
      <c r="D103" s="10">
        <f t="shared" si="3"/>
        <v>-10.645351270965033</v>
      </c>
    </row>
    <row r="104" spans="1:4" x14ac:dyDescent="0.25">
      <c r="A104" s="33" t="s">
        <v>186</v>
      </c>
      <c r="B104" s="34">
        <v>-25065</v>
      </c>
      <c r="C104" s="98">
        <f t="shared" si="2"/>
        <v>1013.8429781871461</v>
      </c>
      <c r="D104" s="10">
        <f t="shared" si="3"/>
        <v>-12705.987124130408</v>
      </c>
    </row>
    <row r="105" spans="1:4" x14ac:dyDescent="0.25">
      <c r="A105" s="33" t="s">
        <v>188</v>
      </c>
      <c r="B105" s="34">
        <v>-895958</v>
      </c>
      <c r="C105" s="98">
        <f t="shared" si="2"/>
        <v>1013.8429781871461</v>
      </c>
      <c r="D105" s="10">
        <f t="shared" si="3"/>
        <v>-454180.36352529947</v>
      </c>
    </row>
    <row r="106" spans="1:4" x14ac:dyDescent="0.25">
      <c r="A106" s="33" t="s">
        <v>192</v>
      </c>
      <c r="B106" s="34">
        <v>-3400</v>
      </c>
      <c r="C106" s="98">
        <f t="shared" si="2"/>
        <v>1013.8429781871461</v>
      </c>
      <c r="D106" s="10">
        <f t="shared" si="3"/>
        <v>-1723.5330629181483</v>
      </c>
    </row>
    <row r="107" spans="1:4" x14ac:dyDescent="0.25">
      <c r="A107" s="33" t="s">
        <v>194</v>
      </c>
      <c r="B107" s="34">
        <v>-41478</v>
      </c>
      <c r="C107" s="98">
        <f t="shared" si="2"/>
        <v>1013.8429781871461</v>
      </c>
      <c r="D107" s="10">
        <f t="shared" si="3"/>
        <v>-21026.089524623221</v>
      </c>
    </row>
    <row r="108" spans="1:4" x14ac:dyDescent="0.25">
      <c r="A108" s="33" t="s">
        <v>172</v>
      </c>
      <c r="B108" s="34">
        <v>-307922</v>
      </c>
      <c r="C108" s="98">
        <f t="shared" si="2"/>
        <v>1013.8429781871461</v>
      </c>
      <c r="D108" s="10">
        <f t="shared" si="3"/>
        <v>-156092.27876467121</v>
      </c>
    </row>
    <row r="109" spans="1:4" x14ac:dyDescent="0.25">
      <c r="A109" s="33" t="s">
        <v>195</v>
      </c>
      <c r="B109" s="34">
        <v>-6000</v>
      </c>
      <c r="C109" s="98">
        <f t="shared" si="2"/>
        <v>1013.8429781871461</v>
      </c>
      <c r="D109" s="10">
        <f t="shared" si="3"/>
        <v>-3041.5289345614383</v>
      </c>
    </row>
    <row r="110" spans="1:4" x14ac:dyDescent="0.25">
      <c r="A110" s="33" t="s">
        <v>196</v>
      </c>
      <c r="B110" s="34">
        <v>-3298</v>
      </c>
      <c r="C110" s="98">
        <f t="shared" si="2"/>
        <v>1013.8429781871461</v>
      </c>
      <c r="D110" s="10">
        <f t="shared" si="3"/>
        <v>-1671.827071030604</v>
      </c>
    </row>
    <row r="111" spans="1:4" x14ac:dyDescent="0.25">
      <c r="A111" s="33" t="s">
        <v>197</v>
      </c>
      <c r="B111" s="34">
        <v>-4433</v>
      </c>
      <c r="C111" s="98">
        <f t="shared" si="2"/>
        <v>1013.8429781871461</v>
      </c>
      <c r="D111" s="10">
        <f t="shared" si="3"/>
        <v>-2247.1829611518096</v>
      </c>
    </row>
    <row r="112" spans="1:4" x14ac:dyDescent="0.25">
      <c r="A112" s="33" t="s">
        <v>198</v>
      </c>
      <c r="B112" s="34">
        <v>-650</v>
      </c>
      <c r="C112" s="98">
        <f t="shared" si="2"/>
        <v>1013.8429781871461</v>
      </c>
      <c r="D112" s="10">
        <f t="shared" si="3"/>
        <v>-329.4989679108225</v>
      </c>
    </row>
    <row r="113" spans="1:4" x14ac:dyDescent="0.25">
      <c r="A113" s="33" t="s">
        <v>200</v>
      </c>
      <c r="B113" s="34">
        <v>2421278</v>
      </c>
      <c r="C113" s="98">
        <f t="shared" si="2"/>
        <v>1013.8429781871461</v>
      </c>
      <c r="D113" s="10">
        <f t="shared" si="3"/>
        <v>1227397.8492695084</v>
      </c>
    </row>
    <row r="114" spans="1:4" x14ac:dyDescent="0.25">
      <c r="A114" s="33" t="s">
        <v>201</v>
      </c>
      <c r="B114" s="34">
        <v>-95783</v>
      </c>
      <c r="C114" s="98">
        <f t="shared" si="2"/>
        <v>1013.8429781871461</v>
      </c>
      <c r="D114" s="10">
        <f t="shared" si="3"/>
        <v>-48554.460989849707</v>
      </c>
    </row>
    <row r="115" spans="1:4" x14ac:dyDescent="0.25">
      <c r="A115" s="33" t="s">
        <v>175</v>
      </c>
      <c r="B115" s="34">
        <v>-141345</v>
      </c>
      <c r="C115" s="98">
        <f t="shared" si="2"/>
        <v>1013.8429781871461</v>
      </c>
      <c r="D115" s="10">
        <f t="shared" si="3"/>
        <v>-71650.817875931083</v>
      </c>
    </row>
    <row r="116" spans="1:4" x14ac:dyDescent="0.25">
      <c r="A116" s="33" t="s">
        <v>202</v>
      </c>
      <c r="B116" s="34">
        <v>-23</v>
      </c>
      <c r="C116" s="98">
        <f t="shared" si="2"/>
        <v>1013.8429781871461</v>
      </c>
      <c r="D116" s="10">
        <f t="shared" si="3"/>
        <v>-11.659194249152181</v>
      </c>
    </row>
    <row r="117" spans="1:4" x14ac:dyDescent="0.25">
      <c r="A117" s="33" t="s">
        <v>204</v>
      </c>
      <c r="B117" s="34">
        <v>-3121</v>
      </c>
      <c r="C117" s="98">
        <f t="shared" si="2"/>
        <v>1013.8429781871461</v>
      </c>
      <c r="D117" s="10">
        <f t="shared" si="3"/>
        <v>-1582.1019674610413</v>
      </c>
    </row>
    <row r="118" spans="1:4" x14ac:dyDescent="0.25">
      <c r="A118" s="33" t="s">
        <v>176</v>
      </c>
      <c r="B118" s="34">
        <v>-84873</v>
      </c>
      <c r="C118" s="98">
        <f t="shared" si="2"/>
        <v>1013.8429781871461</v>
      </c>
      <c r="D118" s="10">
        <f t="shared" si="3"/>
        <v>-43023.947543838818</v>
      </c>
    </row>
    <row r="119" spans="1:4" x14ac:dyDescent="0.25">
      <c r="A119" s="33" t="s">
        <v>208</v>
      </c>
      <c r="B119" s="34">
        <v>-1200</v>
      </c>
      <c r="C119" s="98">
        <f t="shared" si="2"/>
        <v>1013.8429781871461</v>
      </c>
      <c r="D119" s="10">
        <f t="shared" si="3"/>
        <v>-608.30578691228754</v>
      </c>
    </row>
    <row r="120" spans="1:4" x14ac:dyDescent="0.25">
      <c r="A120" s="33" t="s">
        <v>209</v>
      </c>
      <c r="B120" s="34">
        <v>-13200</v>
      </c>
      <c r="C120" s="98">
        <f t="shared" si="2"/>
        <v>1013.8429781871461</v>
      </c>
      <c r="D120" s="10">
        <f t="shared" si="3"/>
        <v>-6691.3636560351642</v>
      </c>
    </row>
    <row r="121" spans="1:4" x14ac:dyDescent="0.25">
      <c r="A121" s="33" t="s">
        <v>210</v>
      </c>
      <c r="B121" s="34">
        <v>-24697</v>
      </c>
      <c r="C121" s="98">
        <f t="shared" si="2"/>
        <v>1013.8429781871461</v>
      </c>
      <c r="D121" s="10">
        <f t="shared" si="3"/>
        <v>-12519.440016143973</v>
      </c>
    </row>
    <row r="122" spans="1:4" x14ac:dyDescent="0.25">
      <c r="A122" s="33" t="s">
        <v>189</v>
      </c>
      <c r="B122" s="34">
        <v>-88920</v>
      </c>
      <c r="C122" s="98">
        <f t="shared" si="2"/>
        <v>1013.8429781871461</v>
      </c>
      <c r="D122" s="10">
        <f t="shared" si="3"/>
        <v>-45075.458810200515</v>
      </c>
    </row>
    <row r="123" spans="1:4" x14ac:dyDescent="0.25">
      <c r="A123" s="33" t="s">
        <v>213</v>
      </c>
      <c r="B123" s="34">
        <v>-4691</v>
      </c>
      <c r="C123" s="98">
        <f t="shared" si="2"/>
        <v>1013.8429781871461</v>
      </c>
      <c r="D123" s="10">
        <f t="shared" si="3"/>
        <v>-2377.9687053379512</v>
      </c>
    </row>
    <row r="124" spans="1:4" x14ac:dyDescent="0.25">
      <c r="A124" s="33" t="s">
        <v>214</v>
      </c>
      <c r="B124" s="34">
        <v>-44413</v>
      </c>
      <c r="C124" s="98">
        <f t="shared" si="2"/>
        <v>1013.8429781871461</v>
      </c>
      <c r="D124" s="10">
        <f t="shared" si="3"/>
        <v>-22513.904095112859</v>
      </c>
    </row>
    <row r="125" spans="1:4" x14ac:dyDescent="0.25">
      <c r="A125" s="33" t="s">
        <v>177</v>
      </c>
      <c r="B125" s="34">
        <v>-80970</v>
      </c>
      <c r="C125" s="98">
        <f t="shared" si="2"/>
        <v>1013.8429781871461</v>
      </c>
      <c r="D125" s="10">
        <f t="shared" si="3"/>
        <v>-41045.432971906608</v>
      </c>
    </row>
    <row r="126" spans="1:4" x14ac:dyDescent="0.25">
      <c r="A126" s="33" t="s">
        <v>217</v>
      </c>
      <c r="B126" s="34">
        <v>-30000</v>
      </c>
      <c r="C126" s="98">
        <f t="shared" si="2"/>
        <v>1013.8429781871461</v>
      </c>
      <c r="D126" s="10">
        <f t="shared" si="3"/>
        <v>-15207.644672807191</v>
      </c>
    </row>
    <row r="127" spans="1:4" x14ac:dyDescent="0.25">
      <c r="A127" s="33" t="s">
        <v>179</v>
      </c>
      <c r="B127" s="34">
        <v>-980</v>
      </c>
      <c r="C127" s="98">
        <f t="shared" si="2"/>
        <v>1013.8429781871461</v>
      </c>
      <c r="D127" s="10">
        <f t="shared" si="3"/>
        <v>-496.78305931170155</v>
      </c>
    </row>
    <row r="128" spans="1:4" x14ac:dyDescent="0.25">
      <c r="A128" s="33" t="s">
        <v>221</v>
      </c>
      <c r="B128" s="34">
        <v>-6322</v>
      </c>
      <c r="C128" s="98">
        <f t="shared" si="2"/>
        <v>1013.8429781871461</v>
      </c>
      <c r="D128" s="10">
        <f t="shared" si="3"/>
        <v>-3204.7576540495688</v>
      </c>
    </row>
    <row r="129" spans="1:4" x14ac:dyDescent="0.25">
      <c r="A129" s="33" t="s">
        <v>222</v>
      </c>
      <c r="B129" s="34">
        <v>-21189</v>
      </c>
      <c r="C129" s="98">
        <f t="shared" si="2"/>
        <v>1013.8429781871461</v>
      </c>
      <c r="D129" s="10">
        <f t="shared" si="3"/>
        <v>-10741.15943240372</v>
      </c>
    </row>
    <row r="130" spans="1:4" x14ac:dyDescent="0.25">
      <c r="A130" s="33" t="s">
        <v>223</v>
      </c>
      <c r="B130" s="34">
        <v>-16203</v>
      </c>
      <c r="C130" s="98">
        <f t="shared" si="2"/>
        <v>1013.8429781871461</v>
      </c>
      <c r="D130" s="10">
        <f t="shared" si="3"/>
        <v>-8213.6488877831634</v>
      </c>
    </row>
    <row r="131" spans="1:4" x14ac:dyDescent="0.25">
      <c r="A131" s="33" t="s">
        <v>224</v>
      </c>
      <c r="B131" s="34">
        <v>-45575</v>
      </c>
      <c r="C131" s="98">
        <f t="shared" si="2"/>
        <v>1013.8429781871461</v>
      </c>
      <c r="D131" s="10">
        <f t="shared" si="3"/>
        <v>-23102.94686543959</v>
      </c>
    </row>
    <row r="132" spans="1:4" x14ac:dyDescent="0.25">
      <c r="A132" s="33" t="s">
        <v>225</v>
      </c>
      <c r="B132" s="34">
        <v>-1725</v>
      </c>
      <c r="C132" s="98">
        <f t="shared" si="2"/>
        <v>1013.8429781871461</v>
      </c>
      <c r="D132" s="10">
        <f t="shared" si="3"/>
        <v>-874.43956868641351</v>
      </c>
    </row>
    <row r="133" spans="1:4" x14ac:dyDescent="0.25">
      <c r="A133" s="33" t="s">
        <v>226</v>
      </c>
      <c r="B133" s="34">
        <v>-16830</v>
      </c>
      <c r="C133" s="98">
        <f t="shared" ref="C133:C179" si="4">IF(B133&lt;&gt;0,$H$1,"")</f>
        <v>1013.8429781871461</v>
      </c>
      <c r="D133" s="10">
        <f t="shared" ref="D133:D179" si="5">(+B133*C133)/2000</f>
        <v>-8531.4886614448333</v>
      </c>
    </row>
    <row r="134" spans="1:4" x14ac:dyDescent="0.25">
      <c r="A134" s="33" t="s">
        <v>227</v>
      </c>
      <c r="B134" s="34">
        <v>-4477</v>
      </c>
      <c r="C134" s="98">
        <f t="shared" si="4"/>
        <v>1013.8429781871461</v>
      </c>
      <c r="D134" s="10">
        <f t="shared" si="5"/>
        <v>-2269.4875066719264</v>
      </c>
    </row>
    <row r="135" spans="1:4" x14ac:dyDescent="0.25">
      <c r="A135" s="33" t="s">
        <v>229</v>
      </c>
      <c r="B135" s="34">
        <v>-3200</v>
      </c>
      <c r="C135" s="98">
        <f t="shared" si="4"/>
        <v>1013.8429781871461</v>
      </c>
      <c r="D135" s="10">
        <f t="shared" si="5"/>
        <v>-1622.1487650994336</v>
      </c>
    </row>
    <row r="136" spans="1:4" x14ac:dyDescent="0.25">
      <c r="A136" s="33" t="s">
        <v>230</v>
      </c>
      <c r="B136" s="34">
        <v>-183683</v>
      </c>
      <c r="C136" s="98">
        <f t="shared" si="4"/>
        <v>1013.8429781871461</v>
      </c>
      <c r="D136" s="10">
        <f t="shared" si="5"/>
        <v>-93112.85988117478</v>
      </c>
    </row>
    <row r="137" spans="1:4" x14ac:dyDescent="0.25">
      <c r="A137" s="33" t="s">
        <v>232</v>
      </c>
      <c r="B137" s="34">
        <v>-77637</v>
      </c>
      <c r="C137" s="98">
        <f t="shared" si="4"/>
        <v>1013.8429781871461</v>
      </c>
      <c r="D137" s="10">
        <f t="shared" si="5"/>
        <v>-39355.863648757724</v>
      </c>
    </row>
    <row r="138" spans="1:4" x14ac:dyDescent="0.25">
      <c r="A138" s="33" t="s">
        <v>235</v>
      </c>
      <c r="B138" s="34">
        <v>-13600</v>
      </c>
      <c r="C138" s="98">
        <f t="shared" si="4"/>
        <v>1013.8429781871461</v>
      </c>
      <c r="D138" s="10">
        <f t="shared" si="5"/>
        <v>-6894.1322516725932</v>
      </c>
    </row>
    <row r="139" spans="1:4" x14ac:dyDescent="0.25">
      <c r="A139" s="33" t="s">
        <v>236</v>
      </c>
      <c r="B139" s="34">
        <v>-20000</v>
      </c>
      <c r="C139" s="98">
        <f t="shared" si="4"/>
        <v>1013.8429781871461</v>
      </c>
      <c r="D139" s="10">
        <f t="shared" si="5"/>
        <v>-10138.42978187146</v>
      </c>
    </row>
    <row r="140" spans="1:4" x14ac:dyDescent="0.25">
      <c r="A140" s="33" t="s">
        <v>238</v>
      </c>
      <c r="B140" s="34">
        <v>-9281</v>
      </c>
      <c r="C140" s="98">
        <f t="shared" si="4"/>
        <v>1013.8429781871461</v>
      </c>
      <c r="D140" s="10">
        <f t="shared" si="5"/>
        <v>-4704.7383402774512</v>
      </c>
    </row>
    <row r="141" spans="1:4" x14ac:dyDescent="0.25">
      <c r="A141" s="33" t="s">
        <v>239</v>
      </c>
      <c r="B141" s="34">
        <v>-49275</v>
      </c>
      <c r="C141" s="98">
        <f t="shared" si="4"/>
        <v>1013.8429781871461</v>
      </c>
      <c r="D141" s="10">
        <f t="shared" si="5"/>
        <v>-24978.556375085813</v>
      </c>
    </row>
    <row r="142" spans="1:4" x14ac:dyDescent="0.25">
      <c r="A142" s="33" t="s">
        <v>240</v>
      </c>
      <c r="B142" s="34">
        <v>-3215</v>
      </c>
      <c r="C142" s="98">
        <f t="shared" si="4"/>
        <v>1013.8429781871461</v>
      </c>
      <c r="D142" s="10">
        <f t="shared" si="5"/>
        <v>-1629.7525874358373</v>
      </c>
    </row>
    <row r="143" spans="1:4" x14ac:dyDescent="0.25">
      <c r="A143" s="33" t="s">
        <v>242</v>
      </c>
      <c r="B143" s="34">
        <v>-77000</v>
      </c>
      <c r="C143" s="98">
        <f t="shared" si="4"/>
        <v>1013.8429781871461</v>
      </c>
      <c r="D143" s="10">
        <f t="shared" si="5"/>
        <v>-39032.954660205127</v>
      </c>
    </row>
    <row r="144" spans="1:4" x14ac:dyDescent="0.25">
      <c r="A144" s="33" t="s">
        <v>243</v>
      </c>
      <c r="B144" s="34">
        <v>-40881</v>
      </c>
      <c r="C144" s="98">
        <f t="shared" si="4"/>
        <v>1013.8429781871461</v>
      </c>
      <c r="D144" s="10">
        <f t="shared" si="5"/>
        <v>-20723.457395634359</v>
      </c>
    </row>
    <row r="145" spans="1:4" x14ac:dyDescent="0.25">
      <c r="A145" s="33" t="s">
        <v>244</v>
      </c>
      <c r="B145" s="34">
        <v>-8394</v>
      </c>
      <c r="C145" s="98">
        <f t="shared" si="4"/>
        <v>1013.8429781871461</v>
      </c>
      <c r="D145" s="10">
        <f t="shared" si="5"/>
        <v>-4255.0989794514526</v>
      </c>
    </row>
    <row r="146" spans="1:4" x14ac:dyDescent="0.25">
      <c r="A146" s="33" t="s">
        <v>180</v>
      </c>
      <c r="B146" s="34">
        <v>-252602</v>
      </c>
      <c r="C146" s="98">
        <f t="shared" si="4"/>
        <v>1013.8429781871461</v>
      </c>
      <c r="D146" s="10">
        <f t="shared" si="5"/>
        <v>-128049.38198801473</v>
      </c>
    </row>
    <row r="147" spans="1:4" x14ac:dyDescent="0.25">
      <c r="A147" s="33" t="s">
        <v>245</v>
      </c>
      <c r="B147" s="34">
        <v>-3417</v>
      </c>
      <c r="C147" s="98">
        <f t="shared" si="4"/>
        <v>1013.8429781871461</v>
      </c>
      <c r="D147" s="10">
        <f t="shared" si="5"/>
        <v>-1732.1507282327391</v>
      </c>
    </row>
    <row r="148" spans="1:4" x14ac:dyDescent="0.25">
      <c r="A148" s="33" t="s">
        <v>249</v>
      </c>
      <c r="B148" s="34">
        <v>-2072</v>
      </c>
      <c r="C148" s="98">
        <f t="shared" si="4"/>
        <v>1013.8429781871461</v>
      </c>
      <c r="D148" s="10">
        <f t="shared" si="5"/>
        <v>-1050.3413254018833</v>
      </c>
    </row>
    <row r="149" spans="1:4" x14ac:dyDescent="0.25">
      <c r="A149" s="33" t="s">
        <v>251</v>
      </c>
      <c r="B149" s="34">
        <v>-17324</v>
      </c>
      <c r="C149" s="98">
        <f t="shared" si="4"/>
        <v>1013.8429781871461</v>
      </c>
      <c r="D149" s="10">
        <f t="shared" si="5"/>
        <v>-8781.9078770570595</v>
      </c>
    </row>
    <row r="150" spans="1:4" x14ac:dyDescent="0.25">
      <c r="A150" s="33" t="s">
        <v>252</v>
      </c>
      <c r="B150" s="34">
        <v>-25569</v>
      </c>
      <c r="C150" s="98">
        <f t="shared" si="4"/>
        <v>1013.8429781871461</v>
      </c>
      <c r="D150" s="10">
        <f t="shared" si="5"/>
        <v>-12961.475554633569</v>
      </c>
    </row>
    <row r="151" spans="1:4" x14ac:dyDescent="0.25">
      <c r="A151" s="33" t="s">
        <v>253</v>
      </c>
      <c r="B151" s="34">
        <v>-5300</v>
      </c>
      <c r="C151" s="98">
        <f t="shared" si="4"/>
        <v>1013.8429781871461</v>
      </c>
      <c r="D151" s="10">
        <f t="shared" si="5"/>
        <v>-2686.683892195937</v>
      </c>
    </row>
    <row r="152" spans="1:4" x14ac:dyDescent="0.25">
      <c r="A152" s="33" t="s">
        <v>254</v>
      </c>
      <c r="B152" s="34">
        <v>-260</v>
      </c>
      <c r="C152" s="98">
        <f t="shared" si="4"/>
        <v>1013.8429781871461</v>
      </c>
      <c r="D152" s="10">
        <f t="shared" si="5"/>
        <v>-131.79958716432898</v>
      </c>
    </row>
    <row r="153" spans="1:4" x14ac:dyDescent="0.25">
      <c r="A153" s="33" t="s">
        <v>255</v>
      </c>
      <c r="B153" s="34">
        <v>-7665</v>
      </c>
      <c r="C153" s="98">
        <f t="shared" si="4"/>
        <v>1013.8429781871461</v>
      </c>
      <c r="D153" s="10">
        <f t="shared" si="5"/>
        <v>-3885.5532139022375</v>
      </c>
    </row>
    <row r="154" spans="1:4" x14ac:dyDescent="0.25">
      <c r="A154" s="33" t="s">
        <v>257</v>
      </c>
      <c r="B154" s="34">
        <v>-299493</v>
      </c>
      <c r="C154" s="98">
        <f t="shared" si="4"/>
        <v>1013.8429781871461</v>
      </c>
      <c r="D154" s="10">
        <f t="shared" si="5"/>
        <v>-151819.43753310147</v>
      </c>
    </row>
    <row r="155" spans="1:4" x14ac:dyDescent="0.25">
      <c r="A155" s="33" t="s">
        <v>258</v>
      </c>
      <c r="B155" s="34">
        <v>-10225</v>
      </c>
      <c r="C155" s="98">
        <f t="shared" si="4"/>
        <v>1013.8429781871461</v>
      </c>
      <c r="D155" s="10">
        <f t="shared" si="5"/>
        <v>-5183.2722259817838</v>
      </c>
    </row>
    <row r="156" spans="1:4" x14ac:dyDescent="0.25">
      <c r="A156" s="33" t="s">
        <v>259</v>
      </c>
      <c r="B156" s="34">
        <v>-11000</v>
      </c>
      <c r="C156" s="98">
        <f t="shared" si="4"/>
        <v>1013.8429781871461</v>
      </c>
      <c r="D156" s="10">
        <f t="shared" si="5"/>
        <v>-5576.1363800293029</v>
      </c>
    </row>
    <row r="157" spans="1:4" x14ac:dyDescent="0.25">
      <c r="A157" s="33" t="s">
        <v>261</v>
      </c>
      <c r="B157" s="34">
        <v>-84922</v>
      </c>
      <c r="C157" s="98">
        <f t="shared" si="4"/>
        <v>1013.8429781871461</v>
      </c>
      <c r="D157" s="10">
        <f t="shared" si="5"/>
        <v>-43048.786696804411</v>
      </c>
    </row>
    <row r="158" spans="1:4" x14ac:dyDescent="0.25">
      <c r="A158" s="33" t="s">
        <v>183</v>
      </c>
      <c r="B158" s="34">
        <v>-546974</v>
      </c>
      <c r="C158" s="98">
        <f t="shared" si="4"/>
        <v>1013.8429781871461</v>
      </c>
      <c r="D158" s="10">
        <f t="shared" si="5"/>
        <v>-277272.87457546801</v>
      </c>
    </row>
    <row r="159" spans="1:4" x14ac:dyDescent="0.25">
      <c r="A159" s="33" t="s">
        <v>262</v>
      </c>
      <c r="B159" s="34">
        <v>-54840</v>
      </c>
      <c r="C159" s="98">
        <f t="shared" si="4"/>
        <v>1013.8429781871461</v>
      </c>
      <c r="D159" s="10">
        <f t="shared" si="5"/>
        <v>-27799.574461891541</v>
      </c>
    </row>
    <row r="160" spans="1:4" x14ac:dyDescent="0.25">
      <c r="A160" s="33" t="s">
        <v>263</v>
      </c>
      <c r="B160" s="34">
        <v>-12930</v>
      </c>
      <c r="C160" s="98">
        <f t="shared" si="4"/>
        <v>1013.8429781871461</v>
      </c>
      <c r="D160" s="10">
        <f t="shared" si="5"/>
        <v>-6554.4948539798997</v>
      </c>
    </row>
    <row r="161" spans="1:4" x14ac:dyDescent="0.25">
      <c r="A161" s="33" t="s">
        <v>264</v>
      </c>
      <c r="B161" s="34">
        <v>-182633</v>
      </c>
      <c r="C161" s="98">
        <f t="shared" si="4"/>
        <v>1013.8429781871461</v>
      </c>
      <c r="D161" s="10">
        <f t="shared" si="5"/>
        <v>-92580.592317626521</v>
      </c>
    </row>
    <row r="162" spans="1:4" x14ac:dyDescent="0.25">
      <c r="A162" s="33" t="s">
        <v>265</v>
      </c>
      <c r="B162" s="34">
        <v>-2030</v>
      </c>
      <c r="C162" s="98">
        <f t="shared" si="4"/>
        <v>1013.8429781871461</v>
      </c>
      <c r="D162" s="10">
        <f t="shared" si="5"/>
        <v>-1029.0506228599531</v>
      </c>
    </row>
    <row r="163" spans="1:4" x14ac:dyDescent="0.25">
      <c r="A163" s="33" t="s">
        <v>266</v>
      </c>
      <c r="B163" s="34">
        <v>-9398</v>
      </c>
      <c r="C163" s="98">
        <f t="shared" si="4"/>
        <v>1013.8429781871461</v>
      </c>
      <c r="D163" s="10">
        <f t="shared" si="5"/>
        <v>-4764.048154501399</v>
      </c>
    </row>
    <row r="164" spans="1:4" x14ac:dyDescent="0.25">
      <c r="A164" s="33" t="s">
        <v>267</v>
      </c>
      <c r="B164" s="34">
        <v>-11112</v>
      </c>
      <c r="C164" s="98">
        <f t="shared" si="4"/>
        <v>1013.8429781871461</v>
      </c>
      <c r="D164" s="10">
        <f t="shared" si="5"/>
        <v>-5632.9115868077834</v>
      </c>
    </row>
    <row r="165" spans="1:4" x14ac:dyDescent="0.25">
      <c r="A165" s="33" t="s">
        <v>184</v>
      </c>
      <c r="B165" s="34">
        <v>-43046</v>
      </c>
      <c r="C165" s="98">
        <f t="shared" si="4"/>
        <v>1013.8429781871461</v>
      </c>
      <c r="D165" s="10">
        <f t="shared" si="5"/>
        <v>-21820.942419521947</v>
      </c>
    </row>
    <row r="166" spans="1:4" x14ac:dyDescent="0.25">
      <c r="A166" s="33" t="s">
        <v>268</v>
      </c>
      <c r="B166" s="34">
        <v>-186355</v>
      </c>
      <c r="C166" s="98">
        <f t="shared" si="4"/>
        <v>1013.8429781871461</v>
      </c>
      <c r="D166" s="10">
        <f t="shared" si="5"/>
        <v>-94467.354100032811</v>
      </c>
    </row>
    <row r="167" spans="1:4" x14ac:dyDescent="0.25">
      <c r="A167" s="33" t="s">
        <v>185</v>
      </c>
      <c r="B167" s="34">
        <v>-215517</v>
      </c>
      <c r="C167" s="98">
        <f t="shared" si="4"/>
        <v>1013.8429781871461</v>
      </c>
      <c r="D167" s="10">
        <f t="shared" si="5"/>
        <v>-109250.19856497958</v>
      </c>
    </row>
    <row r="168" spans="1:4" x14ac:dyDescent="0.25">
      <c r="A168" s="33" t="s">
        <v>270</v>
      </c>
      <c r="B168" s="34">
        <v>-23099</v>
      </c>
      <c r="C168" s="98">
        <f t="shared" si="4"/>
        <v>1013.8429781871461</v>
      </c>
      <c r="D168" s="10">
        <f t="shared" si="5"/>
        <v>-11709.379476572443</v>
      </c>
    </row>
    <row r="169" spans="1:4" x14ac:dyDescent="0.25">
      <c r="A169" s="33" t="s">
        <v>271</v>
      </c>
      <c r="B169" s="34">
        <v>-16202</v>
      </c>
      <c r="C169" s="98">
        <f t="shared" si="4"/>
        <v>1013.8429781871461</v>
      </c>
      <c r="D169" s="10">
        <f t="shared" si="5"/>
        <v>-8213.1419662940698</v>
      </c>
    </row>
    <row r="170" spans="1:4" x14ac:dyDescent="0.25">
      <c r="A170" s="33" t="s">
        <v>272</v>
      </c>
      <c r="B170" s="34">
        <v>-29170</v>
      </c>
      <c r="C170" s="98">
        <f t="shared" si="4"/>
        <v>1013.8429781871461</v>
      </c>
      <c r="D170" s="10">
        <f t="shared" si="5"/>
        <v>-14786.899836859526</v>
      </c>
    </row>
    <row r="171" spans="1:4" x14ac:dyDescent="0.25">
      <c r="A171" s="33" t="s">
        <v>273</v>
      </c>
      <c r="B171" s="34">
        <v>-18966</v>
      </c>
      <c r="C171" s="98">
        <f t="shared" si="4"/>
        <v>1013.8429781871461</v>
      </c>
      <c r="D171" s="10">
        <f t="shared" si="5"/>
        <v>-9614.2729621487051</v>
      </c>
    </row>
    <row r="172" spans="1:4" x14ac:dyDescent="0.25">
      <c r="A172" s="33" t="s">
        <v>274</v>
      </c>
      <c r="B172" s="34">
        <v>-115860</v>
      </c>
      <c r="C172" s="98">
        <f t="shared" si="4"/>
        <v>1013.8429781871461</v>
      </c>
      <c r="D172" s="10">
        <f t="shared" si="5"/>
        <v>-58731.92372638137</v>
      </c>
    </row>
    <row r="173" spans="1:4" x14ac:dyDescent="0.25">
      <c r="A173" s="33" t="s">
        <v>186</v>
      </c>
      <c r="B173" s="34">
        <v>-9162</v>
      </c>
      <c r="C173" s="98">
        <f t="shared" si="4"/>
        <v>1013.8429781871461</v>
      </c>
      <c r="D173" s="10">
        <f t="shared" si="5"/>
        <v>-4644.4146830753161</v>
      </c>
    </row>
    <row r="174" spans="1:4" x14ac:dyDescent="0.25">
      <c r="A174" s="33" t="s">
        <v>188</v>
      </c>
      <c r="B174" s="34">
        <v>-618699</v>
      </c>
      <c r="C174" s="98">
        <f t="shared" si="4"/>
        <v>1013.8429781871461</v>
      </c>
      <c r="D174" s="10">
        <f t="shared" si="5"/>
        <v>-313631.8183807045</v>
      </c>
    </row>
    <row r="175" spans="1:4" x14ac:dyDescent="0.25">
      <c r="A175" s="33" t="s">
        <v>282</v>
      </c>
      <c r="B175" s="34">
        <v>-15432</v>
      </c>
      <c r="C175" s="98">
        <f t="shared" si="4"/>
        <v>1013.8429781871461</v>
      </c>
      <c r="D175" s="10">
        <f t="shared" si="5"/>
        <v>-7822.8124196920189</v>
      </c>
    </row>
    <row r="176" spans="1:4" x14ac:dyDescent="0.25">
      <c r="A176" s="33" t="s">
        <v>284</v>
      </c>
      <c r="B176" s="34">
        <v>-2765</v>
      </c>
      <c r="C176" s="98">
        <f t="shared" si="4"/>
        <v>1013.8429781871461</v>
      </c>
      <c r="D176" s="10">
        <f t="shared" si="5"/>
        <v>-1401.6379173437294</v>
      </c>
    </row>
    <row r="177" spans="1:4" x14ac:dyDescent="0.25">
      <c r="A177" s="33" t="s">
        <v>285</v>
      </c>
      <c r="B177" s="34">
        <v>-74264</v>
      </c>
      <c r="C177" s="98">
        <f t="shared" si="4"/>
        <v>1013.8429781871461</v>
      </c>
      <c r="D177" s="10">
        <f t="shared" si="5"/>
        <v>-37646.017466045101</v>
      </c>
    </row>
    <row r="178" spans="1:4" x14ac:dyDescent="0.25">
      <c r="A178" s="33" t="s">
        <v>287</v>
      </c>
      <c r="B178" s="34">
        <v>-515</v>
      </c>
      <c r="C178" s="98">
        <f t="shared" si="4"/>
        <v>1013.8429781871461</v>
      </c>
      <c r="D178" s="10">
        <f t="shared" si="5"/>
        <v>-261.06456688319008</v>
      </c>
    </row>
    <row r="179" spans="1:4" x14ac:dyDescent="0.25">
      <c r="A179" s="33" t="s">
        <v>289</v>
      </c>
      <c r="B179" s="34">
        <v>-425</v>
      </c>
      <c r="C179" s="98">
        <f t="shared" si="4"/>
        <v>1013.8429781871461</v>
      </c>
      <c r="D179" s="10">
        <f t="shared" si="5"/>
        <v>-215.44163286476854</v>
      </c>
    </row>
    <row r="180" spans="1:4" x14ac:dyDescent="0.25">
      <c r="A180" s="33"/>
      <c r="B180" s="34"/>
      <c r="C180" s="10"/>
      <c r="D180" s="10"/>
    </row>
    <row r="181" spans="1:4" ht="15.75" thickBot="1" x14ac:dyDescent="0.3">
      <c r="A181" s="36"/>
      <c r="B181" s="37"/>
      <c r="C181" s="15"/>
      <c r="D181" s="16"/>
    </row>
    <row r="182" spans="1:4" ht="16.5" thickTop="1" thickBot="1" x14ac:dyDescent="0.3">
      <c r="A182" s="13"/>
      <c r="B182" s="96">
        <f>SUM(B4:B181)</f>
        <v>6117349.1699999999</v>
      </c>
      <c r="C182" s="14"/>
      <c r="D182" s="97">
        <f>SUM(D4:D181)</f>
        <v>3101015.7505617333</v>
      </c>
    </row>
  </sheetData>
  <hyperlinks>
    <hyperlink ref="D1" r:id="rId1"/>
  </hyperlinks>
  <pageMargins left="0.7" right="0.7" top="0.75" bottom="0.75" header="0.3" footer="0.3"/>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workbookViewId="0">
      <pane ySplit="1" topLeftCell="A35" activePane="bottomLeft" state="frozen"/>
      <selection activeCell="E35" sqref="E35"/>
      <selection pane="bottomLeft" activeCell="E58" sqref="E58"/>
    </sheetView>
  </sheetViews>
  <sheetFormatPr defaultRowHeight="15" x14ac:dyDescent="0.25"/>
  <cols>
    <col min="1" max="1" width="40.85546875" style="79" customWidth="1"/>
    <col min="2" max="7" width="10.85546875" customWidth="1"/>
    <col min="8" max="10" width="10.85546875" style="92" customWidth="1"/>
    <col min="11" max="11" width="10.85546875" customWidth="1"/>
    <col min="12" max="12" width="11.7109375" customWidth="1"/>
    <col min="19" max="19" width="13.140625" customWidth="1"/>
    <col min="20" max="20" width="18.28515625" bestFit="1" customWidth="1"/>
  </cols>
  <sheetData>
    <row r="1" spans="1:11" s="79" customFormat="1" ht="43.15" x14ac:dyDescent="0.3">
      <c r="A1" s="79" t="s">
        <v>42</v>
      </c>
      <c r="B1" s="79" t="s">
        <v>43</v>
      </c>
      <c r="C1" s="79" t="s">
        <v>44</v>
      </c>
      <c r="D1" s="79" t="s">
        <v>45</v>
      </c>
      <c r="E1" s="79" t="s">
        <v>46</v>
      </c>
      <c r="F1" s="79" t="s">
        <v>47</v>
      </c>
      <c r="G1" s="79" t="s">
        <v>48</v>
      </c>
      <c r="H1" s="80" t="s">
        <v>49</v>
      </c>
      <c r="I1" s="80" t="s">
        <v>50</v>
      </c>
      <c r="J1" s="80" t="s">
        <v>51</v>
      </c>
      <c r="K1" s="81" t="s">
        <v>52</v>
      </c>
    </row>
    <row r="2" spans="1:11" ht="14.45" x14ac:dyDescent="0.3">
      <c r="A2" s="79" t="s">
        <v>53</v>
      </c>
      <c r="H2" s="82"/>
      <c r="I2" s="82"/>
      <c r="J2" s="82"/>
    </row>
    <row r="3" spans="1:11" ht="14.45" x14ac:dyDescent="0.3">
      <c r="A3" s="79" t="s">
        <v>54</v>
      </c>
      <c r="B3">
        <v>43269</v>
      </c>
      <c r="C3">
        <v>260131</v>
      </c>
      <c r="D3">
        <v>2117125</v>
      </c>
      <c r="E3">
        <v>30466</v>
      </c>
      <c r="F3">
        <v>80593</v>
      </c>
      <c r="G3">
        <v>843954</v>
      </c>
      <c r="H3" s="82">
        <v>121846</v>
      </c>
      <c r="I3" s="82">
        <v>212284</v>
      </c>
      <c r="J3" s="82">
        <v>269536</v>
      </c>
      <c r="K3">
        <f>+SUM(B3:J3)</f>
        <v>3979204</v>
      </c>
    </row>
    <row r="4" spans="1:11" ht="14.45" x14ac:dyDescent="0.3">
      <c r="A4" s="79" t="s">
        <v>55</v>
      </c>
      <c r="B4">
        <v>42522</v>
      </c>
      <c r="C4">
        <v>254183</v>
      </c>
      <c r="D4">
        <v>2079967</v>
      </c>
      <c r="E4">
        <v>30228</v>
      </c>
      <c r="F4">
        <v>79275</v>
      </c>
      <c r="G4">
        <v>831928</v>
      </c>
      <c r="H4" s="82">
        <v>120365</v>
      </c>
      <c r="I4" s="82">
        <v>208351</v>
      </c>
      <c r="J4" s="82">
        <v>265851</v>
      </c>
      <c r="K4">
        <f t="shared" ref="K4:K6" si="0">+SUM(B4:J4)</f>
        <v>3912670</v>
      </c>
    </row>
    <row r="5" spans="1:11" ht="28.9" x14ac:dyDescent="0.3">
      <c r="A5" s="79" t="s">
        <v>56</v>
      </c>
      <c r="B5">
        <v>40909</v>
      </c>
      <c r="C5">
        <v>251133</v>
      </c>
      <c r="D5">
        <v>1931256</v>
      </c>
      <c r="E5">
        <v>29872</v>
      </c>
      <c r="F5">
        <v>78506</v>
      </c>
      <c r="G5">
        <v>795229</v>
      </c>
      <c r="H5" s="82">
        <v>116901</v>
      </c>
      <c r="I5" s="82">
        <v>201140</v>
      </c>
      <c r="J5" s="82">
        <v>252264</v>
      </c>
      <c r="K5">
        <f t="shared" si="0"/>
        <v>3697210</v>
      </c>
    </row>
    <row r="6" spans="1:11" ht="28.9" x14ac:dyDescent="0.3">
      <c r="A6" s="79" t="s">
        <v>57</v>
      </c>
      <c r="B6">
        <v>40909</v>
      </c>
      <c r="C6">
        <v>251133</v>
      </c>
      <c r="D6">
        <v>1931256</v>
      </c>
      <c r="E6">
        <v>29872</v>
      </c>
      <c r="F6">
        <v>78506</v>
      </c>
      <c r="G6">
        <v>795229</v>
      </c>
      <c r="H6" s="82">
        <v>116901</v>
      </c>
      <c r="I6" s="82">
        <v>201140</v>
      </c>
      <c r="J6" s="82">
        <v>252264</v>
      </c>
      <c r="K6">
        <f t="shared" si="0"/>
        <v>3697210</v>
      </c>
    </row>
    <row r="7" spans="1:11" ht="28.9" x14ac:dyDescent="0.3">
      <c r="A7" s="79" t="s">
        <v>58</v>
      </c>
      <c r="B7">
        <v>5.8</v>
      </c>
      <c r="C7">
        <v>3.6</v>
      </c>
      <c r="D7">
        <v>9.6</v>
      </c>
      <c r="E7">
        <v>2</v>
      </c>
      <c r="F7">
        <v>2.7</v>
      </c>
      <c r="G7">
        <v>6.1</v>
      </c>
      <c r="H7" s="83">
        <v>4.2</v>
      </c>
      <c r="I7" s="83">
        <v>5.5</v>
      </c>
      <c r="J7" s="83">
        <v>6.8</v>
      </c>
    </row>
    <row r="8" spans="1:11" ht="28.9" x14ac:dyDescent="0.3">
      <c r="A8" s="79" t="s">
        <v>59</v>
      </c>
      <c r="B8">
        <v>3.9</v>
      </c>
      <c r="C8">
        <v>1.2</v>
      </c>
      <c r="D8">
        <v>7.7</v>
      </c>
      <c r="E8">
        <v>1.2</v>
      </c>
      <c r="F8">
        <v>1</v>
      </c>
      <c r="G8">
        <v>4.5999999999999996</v>
      </c>
      <c r="H8" s="83">
        <v>3</v>
      </c>
      <c r="I8" s="83">
        <v>3.6</v>
      </c>
      <c r="J8" s="83">
        <v>5.4</v>
      </c>
    </row>
    <row r="9" spans="1:11" ht="14.45" x14ac:dyDescent="0.3">
      <c r="A9" s="79" t="s">
        <v>60</v>
      </c>
      <c r="B9">
        <v>40915</v>
      </c>
      <c r="C9">
        <v>251133</v>
      </c>
      <c r="D9">
        <v>1931249</v>
      </c>
      <c r="E9">
        <v>29872</v>
      </c>
      <c r="F9">
        <v>78506</v>
      </c>
      <c r="G9">
        <v>795225</v>
      </c>
      <c r="H9" s="82">
        <v>116901</v>
      </c>
      <c r="I9" s="82">
        <v>201140</v>
      </c>
      <c r="J9" s="82">
        <v>252264</v>
      </c>
    </row>
    <row r="10" spans="1:11" ht="14.45" x14ac:dyDescent="0.3">
      <c r="A10" s="79" t="s">
        <v>61</v>
      </c>
      <c r="H10" s="82"/>
      <c r="I10" s="82"/>
      <c r="J10" s="82"/>
    </row>
    <row r="11" spans="1:11" ht="28.9" x14ac:dyDescent="0.3">
      <c r="A11" s="79" t="s">
        <v>62</v>
      </c>
      <c r="B11">
        <v>5</v>
      </c>
      <c r="C11">
        <v>5.7</v>
      </c>
      <c r="D11">
        <v>6.2</v>
      </c>
      <c r="E11">
        <v>3.3</v>
      </c>
      <c r="F11">
        <v>5.5</v>
      </c>
      <c r="G11">
        <v>6.9</v>
      </c>
      <c r="H11" s="83">
        <v>6.1</v>
      </c>
      <c r="I11" s="83">
        <v>5.5</v>
      </c>
      <c r="J11" s="83">
        <v>6.1</v>
      </c>
    </row>
    <row r="12" spans="1:11" ht="14.45" x14ac:dyDescent="0.3">
      <c r="A12" s="79" t="s">
        <v>63</v>
      </c>
      <c r="B12">
        <v>5</v>
      </c>
      <c r="C12">
        <v>5.9</v>
      </c>
      <c r="D12">
        <v>6.2</v>
      </c>
      <c r="E12">
        <v>3.6</v>
      </c>
      <c r="F12">
        <v>5.8</v>
      </c>
      <c r="G12">
        <v>7</v>
      </c>
      <c r="H12" s="83">
        <v>6.5</v>
      </c>
      <c r="I12" s="83">
        <v>5.6</v>
      </c>
      <c r="J12" s="83">
        <v>6.1</v>
      </c>
    </row>
    <row r="13" spans="1:11" ht="28.9" x14ac:dyDescent="0.3">
      <c r="A13" s="79" t="s">
        <v>64</v>
      </c>
      <c r="B13">
        <v>18.100000000000001</v>
      </c>
      <c r="C13">
        <v>20.9</v>
      </c>
      <c r="D13">
        <v>21</v>
      </c>
      <c r="E13">
        <v>13.4</v>
      </c>
      <c r="F13">
        <v>18.899999999999999</v>
      </c>
      <c r="G13">
        <v>24</v>
      </c>
      <c r="H13" s="83">
        <v>22.5</v>
      </c>
      <c r="I13" s="83">
        <v>20.2</v>
      </c>
      <c r="J13" s="83">
        <v>22.1</v>
      </c>
    </row>
    <row r="14" spans="1:11" ht="14.45" x14ac:dyDescent="0.3">
      <c r="A14" s="79" t="s">
        <v>65</v>
      </c>
      <c r="B14">
        <v>18.3</v>
      </c>
      <c r="C14">
        <v>22.5</v>
      </c>
      <c r="D14">
        <v>21.4</v>
      </c>
      <c r="E14">
        <v>14.9</v>
      </c>
      <c r="F14">
        <v>20.8</v>
      </c>
      <c r="G14">
        <v>24.9</v>
      </c>
      <c r="H14" s="83">
        <v>23.7</v>
      </c>
      <c r="I14" s="83">
        <v>21</v>
      </c>
      <c r="J14" s="83">
        <v>23</v>
      </c>
    </row>
    <row r="15" spans="1:11" ht="28.9" x14ac:dyDescent="0.3">
      <c r="A15" s="79" t="s">
        <v>66</v>
      </c>
      <c r="B15">
        <v>14.6</v>
      </c>
      <c r="C15">
        <v>16.100000000000001</v>
      </c>
      <c r="D15">
        <v>12.2</v>
      </c>
      <c r="E15">
        <v>31.8</v>
      </c>
      <c r="F15">
        <v>22.5</v>
      </c>
      <c r="G15">
        <v>12.7</v>
      </c>
      <c r="H15" s="83">
        <v>18.7</v>
      </c>
      <c r="I15" s="83">
        <v>15.4</v>
      </c>
      <c r="J15" s="83">
        <v>15.2</v>
      </c>
    </row>
    <row r="16" spans="1:11" ht="14.45" x14ac:dyDescent="0.3">
      <c r="A16" s="79" t="s">
        <v>67</v>
      </c>
      <c r="B16">
        <v>12.7</v>
      </c>
      <c r="C16">
        <v>13.3</v>
      </c>
      <c r="D16">
        <v>10.9</v>
      </c>
      <c r="E16">
        <v>26.3</v>
      </c>
      <c r="F16">
        <v>18.399999999999999</v>
      </c>
      <c r="G16">
        <v>11</v>
      </c>
      <c r="H16" s="83">
        <v>16.100000000000001</v>
      </c>
      <c r="I16" s="83">
        <v>13.2</v>
      </c>
      <c r="J16" s="83">
        <v>13</v>
      </c>
    </row>
    <row r="17" spans="1:10" ht="14.45" x14ac:dyDescent="0.3">
      <c r="A17" s="79" t="s">
        <v>68</v>
      </c>
      <c r="B17">
        <v>49.7</v>
      </c>
      <c r="C17">
        <v>49.1</v>
      </c>
      <c r="D17">
        <v>50</v>
      </c>
      <c r="E17">
        <v>50.7</v>
      </c>
      <c r="F17">
        <v>50.1</v>
      </c>
      <c r="G17">
        <v>50.3</v>
      </c>
      <c r="H17" s="83">
        <v>50.4</v>
      </c>
      <c r="I17" s="83">
        <v>50.4</v>
      </c>
      <c r="J17" s="83">
        <v>50.9</v>
      </c>
    </row>
    <row r="18" spans="1:10" ht="14.45" x14ac:dyDescent="0.3">
      <c r="A18" s="79" t="s">
        <v>69</v>
      </c>
      <c r="B18">
        <v>49.2</v>
      </c>
      <c r="C18">
        <v>49.4</v>
      </c>
      <c r="D18">
        <v>50.2</v>
      </c>
      <c r="E18">
        <v>50.5</v>
      </c>
      <c r="F18">
        <v>50.5</v>
      </c>
      <c r="G18">
        <v>50.6</v>
      </c>
      <c r="H18" s="83">
        <v>50.4</v>
      </c>
      <c r="I18" s="83">
        <v>50.5</v>
      </c>
      <c r="J18" s="83">
        <v>51.3</v>
      </c>
    </row>
    <row r="19" spans="1:10" ht="14.45" x14ac:dyDescent="0.3">
      <c r="A19" s="79" t="s">
        <v>70</v>
      </c>
      <c r="H19" s="82"/>
      <c r="I19" s="82"/>
      <c r="J19" s="82"/>
    </row>
    <row r="20" spans="1:10" ht="14.45" x14ac:dyDescent="0.3">
      <c r="A20" s="79" t="s">
        <v>71</v>
      </c>
      <c r="B20">
        <v>91.9</v>
      </c>
      <c r="C20">
        <v>83.3</v>
      </c>
      <c r="D20">
        <v>70.099999999999994</v>
      </c>
      <c r="E20">
        <v>91.3</v>
      </c>
      <c r="F20">
        <v>86.3</v>
      </c>
      <c r="G20">
        <v>76.099999999999994</v>
      </c>
      <c r="H20" s="83">
        <v>90.8</v>
      </c>
      <c r="I20" s="83">
        <v>87.3</v>
      </c>
      <c r="J20" s="83">
        <v>82.9</v>
      </c>
    </row>
    <row r="21" spans="1:10" ht="14.45" x14ac:dyDescent="0.3">
      <c r="A21" s="79" t="s">
        <v>72</v>
      </c>
      <c r="B21">
        <v>89.3</v>
      </c>
      <c r="C21">
        <v>82.6</v>
      </c>
      <c r="D21">
        <v>68.7</v>
      </c>
      <c r="E21">
        <v>91</v>
      </c>
      <c r="F21">
        <v>86.1</v>
      </c>
      <c r="G21">
        <v>74.2</v>
      </c>
      <c r="H21" s="83">
        <v>83.4</v>
      </c>
      <c r="I21" s="83">
        <v>85.4</v>
      </c>
      <c r="J21" s="83">
        <v>82.4</v>
      </c>
    </row>
    <row r="22" spans="1:10" ht="28.9" x14ac:dyDescent="0.3">
      <c r="A22" s="79" t="s">
        <v>73</v>
      </c>
      <c r="B22">
        <v>1.2</v>
      </c>
      <c r="C22">
        <v>2.9</v>
      </c>
      <c r="D22">
        <v>6.7</v>
      </c>
      <c r="E22">
        <v>1</v>
      </c>
      <c r="F22">
        <v>2.9</v>
      </c>
      <c r="G22">
        <v>7.4</v>
      </c>
      <c r="H22" s="83">
        <v>0.9</v>
      </c>
      <c r="I22" s="83">
        <v>1.2</v>
      </c>
      <c r="J22" s="83">
        <v>3.4</v>
      </c>
    </row>
    <row r="23" spans="1:10" ht="28.9" x14ac:dyDescent="0.3">
      <c r="A23" s="79" t="s">
        <v>74</v>
      </c>
      <c r="B23">
        <v>0.9</v>
      </c>
      <c r="C23">
        <v>2.6</v>
      </c>
      <c r="D23">
        <v>6.2</v>
      </c>
      <c r="E23">
        <v>0.8</v>
      </c>
      <c r="F23">
        <v>2.2000000000000002</v>
      </c>
      <c r="G23">
        <v>6.8</v>
      </c>
      <c r="H23" s="83">
        <v>0.7</v>
      </c>
      <c r="I23" s="83">
        <v>1</v>
      </c>
      <c r="J23" s="83">
        <v>2.7</v>
      </c>
    </row>
    <row r="24" spans="1:10" ht="28.9" x14ac:dyDescent="0.3">
      <c r="A24" s="79" t="s">
        <v>75</v>
      </c>
      <c r="B24">
        <v>1.3</v>
      </c>
      <c r="C24">
        <v>1.8</v>
      </c>
      <c r="D24">
        <v>1.1000000000000001</v>
      </c>
      <c r="E24">
        <v>2.2000000000000002</v>
      </c>
      <c r="F24">
        <v>1.1000000000000001</v>
      </c>
      <c r="G24">
        <v>1.7</v>
      </c>
      <c r="H24" s="83">
        <v>2.7</v>
      </c>
      <c r="I24" s="83">
        <v>3.2</v>
      </c>
      <c r="J24" s="83">
        <v>1.7</v>
      </c>
    </row>
    <row r="25" spans="1:10" ht="30" x14ac:dyDescent="0.25">
      <c r="A25" s="79" t="s">
        <v>76</v>
      </c>
      <c r="B25">
        <v>1</v>
      </c>
      <c r="C25">
        <v>1.6</v>
      </c>
      <c r="D25">
        <v>0.8</v>
      </c>
      <c r="E25">
        <v>2.2999999999999998</v>
      </c>
      <c r="F25">
        <v>0.8</v>
      </c>
      <c r="G25">
        <v>1.4</v>
      </c>
      <c r="H25" s="83">
        <v>2.2000000000000002</v>
      </c>
      <c r="I25" s="83">
        <v>2.8</v>
      </c>
      <c r="J25" s="83">
        <v>1.4</v>
      </c>
    </row>
    <row r="26" spans="1:10" ht="30" x14ac:dyDescent="0.25">
      <c r="A26" s="79" t="s">
        <v>77</v>
      </c>
      <c r="B26">
        <v>2.2999999999999998</v>
      </c>
      <c r="C26">
        <v>5.4</v>
      </c>
      <c r="D26">
        <v>16.399999999999999</v>
      </c>
      <c r="E26">
        <v>1.8</v>
      </c>
      <c r="F26">
        <v>4.8</v>
      </c>
      <c r="G26">
        <v>6.6</v>
      </c>
      <c r="H26" s="83">
        <v>2.2000000000000002</v>
      </c>
      <c r="I26" s="83">
        <v>4.3</v>
      </c>
      <c r="J26" s="83">
        <v>5.7</v>
      </c>
    </row>
    <row r="27" spans="1:10" x14ac:dyDescent="0.25">
      <c r="A27" s="79" t="s">
        <v>78</v>
      </c>
      <c r="B27">
        <v>2</v>
      </c>
      <c r="C27">
        <v>4.9000000000000004</v>
      </c>
      <c r="D27">
        <v>14.6</v>
      </c>
      <c r="E27">
        <v>1.6</v>
      </c>
      <c r="F27">
        <v>4.4000000000000004</v>
      </c>
      <c r="G27">
        <v>6</v>
      </c>
      <c r="H27" s="83">
        <v>1.8</v>
      </c>
      <c r="I27" s="83">
        <v>3.5</v>
      </c>
      <c r="J27" s="83">
        <v>5.2</v>
      </c>
    </row>
    <row r="28" spans="1:10" ht="30" x14ac:dyDescent="0.25">
      <c r="A28" s="79" t="s">
        <v>79</v>
      </c>
      <c r="B28">
        <v>0.2</v>
      </c>
      <c r="C28">
        <v>1</v>
      </c>
      <c r="D28">
        <v>0.8</v>
      </c>
      <c r="E28">
        <v>0.2</v>
      </c>
      <c r="F28">
        <v>0.5</v>
      </c>
      <c r="G28">
        <v>1.5</v>
      </c>
      <c r="H28" s="83">
        <v>0.3</v>
      </c>
      <c r="I28" s="83">
        <v>0.3</v>
      </c>
      <c r="J28" s="83">
        <v>1</v>
      </c>
    </row>
    <row r="29" spans="1:10" ht="30" x14ac:dyDescent="0.25">
      <c r="A29" s="79" t="s">
        <v>80</v>
      </c>
      <c r="B29">
        <v>0.1</v>
      </c>
      <c r="C29">
        <v>0.9</v>
      </c>
      <c r="D29">
        <v>0.8</v>
      </c>
      <c r="E29">
        <v>0.2</v>
      </c>
      <c r="F29">
        <v>0.5</v>
      </c>
      <c r="G29">
        <v>1.3</v>
      </c>
      <c r="H29" s="83">
        <v>0.2</v>
      </c>
      <c r="I29" s="83">
        <v>0.2</v>
      </c>
      <c r="J29" s="83">
        <v>0.8</v>
      </c>
    </row>
    <row r="30" spans="1:10" ht="30" x14ac:dyDescent="0.25">
      <c r="A30" s="79" t="s">
        <v>81</v>
      </c>
      <c r="B30">
        <v>3.2</v>
      </c>
      <c r="C30">
        <v>5.6</v>
      </c>
      <c r="D30">
        <v>4.9000000000000004</v>
      </c>
      <c r="E30">
        <v>3.4</v>
      </c>
      <c r="F30">
        <v>4.5</v>
      </c>
      <c r="G30">
        <v>6.7</v>
      </c>
      <c r="H30" s="83">
        <v>3</v>
      </c>
      <c r="I30" s="83">
        <v>3.7</v>
      </c>
      <c r="J30" s="83">
        <v>5.2</v>
      </c>
    </row>
    <row r="31" spans="1:10" x14ac:dyDescent="0.25">
      <c r="A31" s="79" t="s">
        <v>82</v>
      </c>
      <c r="B31">
        <v>3</v>
      </c>
      <c r="C31">
        <v>5.8</v>
      </c>
      <c r="D31">
        <v>5</v>
      </c>
      <c r="E31">
        <v>3.4</v>
      </c>
      <c r="F31">
        <v>4.5</v>
      </c>
      <c r="G31">
        <v>6.8</v>
      </c>
      <c r="H31" s="83">
        <v>3.2</v>
      </c>
      <c r="I31" s="83">
        <v>3.8</v>
      </c>
      <c r="J31" s="83">
        <v>5.3</v>
      </c>
    </row>
    <row r="32" spans="1:10" ht="30" x14ac:dyDescent="0.25">
      <c r="A32" s="79" t="s">
        <v>83</v>
      </c>
      <c r="B32">
        <v>8.8000000000000007</v>
      </c>
      <c r="C32">
        <v>7.2</v>
      </c>
      <c r="D32">
        <v>9.4</v>
      </c>
      <c r="E32">
        <v>3.7</v>
      </c>
      <c r="F32">
        <v>7.1</v>
      </c>
      <c r="G32">
        <v>10.199999999999999</v>
      </c>
      <c r="H32" s="83">
        <v>17.8</v>
      </c>
      <c r="I32" s="83">
        <v>8.9</v>
      </c>
      <c r="J32" s="83">
        <v>8.4</v>
      </c>
    </row>
    <row r="33" spans="1:12" x14ac:dyDescent="0.25">
      <c r="A33" s="79" t="s">
        <v>84</v>
      </c>
      <c r="B33">
        <v>7.6</v>
      </c>
      <c r="C33">
        <v>6.2</v>
      </c>
      <c r="D33">
        <v>8.9</v>
      </c>
      <c r="E33">
        <v>2.8</v>
      </c>
      <c r="F33">
        <v>5.5</v>
      </c>
      <c r="G33">
        <v>9.1999999999999993</v>
      </c>
      <c r="H33" s="83">
        <v>16.899999999999999</v>
      </c>
      <c r="I33" s="83">
        <v>7.8</v>
      </c>
      <c r="J33" s="83">
        <v>7.1</v>
      </c>
    </row>
    <row r="34" spans="1:12" ht="30" x14ac:dyDescent="0.25">
      <c r="A34" s="79" t="s">
        <v>85</v>
      </c>
      <c r="B34">
        <v>84.2</v>
      </c>
      <c r="C34">
        <v>77.7</v>
      </c>
      <c r="D34">
        <v>62.4</v>
      </c>
      <c r="E34">
        <v>88.4</v>
      </c>
      <c r="F34">
        <v>80.599999999999994</v>
      </c>
      <c r="G34">
        <v>68.400000000000006</v>
      </c>
      <c r="H34" s="83">
        <v>75.400000000000006</v>
      </c>
      <c r="I34" s="83">
        <v>79.900000000000006</v>
      </c>
      <c r="J34" s="83">
        <v>76.3</v>
      </c>
    </row>
    <row r="35" spans="1:12" ht="30" x14ac:dyDescent="0.25">
      <c r="A35" s="79" t="s">
        <v>86</v>
      </c>
      <c r="B35">
        <v>86.1</v>
      </c>
      <c r="C35">
        <v>79.099999999999994</v>
      </c>
      <c r="D35">
        <v>64.8</v>
      </c>
      <c r="E35">
        <v>89.3</v>
      </c>
      <c r="F35">
        <v>83.1</v>
      </c>
      <c r="G35">
        <v>70.3</v>
      </c>
      <c r="H35" s="83">
        <v>76.7</v>
      </c>
      <c r="I35" s="83">
        <v>81.900000000000006</v>
      </c>
      <c r="J35" s="83">
        <v>78.900000000000006</v>
      </c>
    </row>
    <row r="36" spans="1:12" x14ac:dyDescent="0.25">
      <c r="A36" s="79" t="s">
        <v>87</v>
      </c>
      <c r="H36" s="82"/>
      <c r="I36" s="82"/>
      <c r="J36" s="82"/>
    </row>
    <row r="37" spans="1:12" x14ac:dyDescent="0.25">
      <c r="A37" s="79" t="s">
        <v>88</v>
      </c>
      <c r="B37">
        <v>3699</v>
      </c>
      <c r="C37">
        <v>35134</v>
      </c>
      <c r="D37">
        <v>117855</v>
      </c>
      <c r="E37">
        <v>4330</v>
      </c>
      <c r="F37">
        <v>12634</v>
      </c>
      <c r="G37">
        <v>89025</v>
      </c>
      <c r="H37" s="82">
        <v>11377</v>
      </c>
      <c r="I37" s="82">
        <v>14187</v>
      </c>
      <c r="J37" s="82">
        <v>29076</v>
      </c>
      <c r="L37" s="93" t="s">
        <v>170</v>
      </c>
    </row>
    <row r="38" spans="1:12" x14ac:dyDescent="0.25">
      <c r="A38" s="79" t="s">
        <v>89</v>
      </c>
      <c r="B38">
        <v>6.1</v>
      </c>
      <c r="C38">
        <v>6.5</v>
      </c>
      <c r="D38">
        <v>21</v>
      </c>
      <c r="E38">
        <v>3.5</v>
      </c>
      <c r="F38">
        <v>7.1</v>
      </c>
      <c r="G38">
        <v>9.8000000000000007</v>
      </c>
      <c r="H38" s="83">
        <v>9.4</v>
      </c>
      <c r="I38" s="83">
        <v>11.1</v>
      </c>
      <c r="J38" s="83">
        <v>7.9</v>
      </c>
      <c r="L38" s="94">
        <f>+L50</f>
        <v>2.4916605913730829</v>
      </c>
    </row>
    <row r="39" spans="1:12" x14ac:dyDescent="0.25">
      <c r="A39" s="79" t="s">
        <v>90</v>
      </c>
      <c r="H39" s="82"/>
      <c r="I39" s="82"/>
      <c r="J39" s="82"/>
    </row>
    <row r="40" spans="1:12" x14ac:dyDescent="0.25">
      <c r="A40" s="79" t="s">
        <v>91</v>
      </c>
      <c r="B40">
        <v>22553</v>
      </c>
      <c r="C40">
        <v>109327</v>
      </c>
      <c r="D40">
        <v>880462</v>
      </c>
      <c r="E40">
        <v>17947</v>
      </c>
      <c r="F40">
        <v>40685</v>
      </c>
      <c r="G40">
        <v>332712</v>
      </c>
      <c r="H40" s="82">
        <v>51870</v>
      </c>
      <c r="I40" s="82">
        <v>92466</v>
      </c>
      <c r="J40" s="82">
        <v>111807</v>
      </c>
    </row>
    <row r="41" spans="1:12" x14ac:dyDescent="0.25">
      <c r="A41" s="79" t="s">
        <v>92</v>
      </c>
      <c r="B41">
        <v>21900</v>
      </c>
      <c r="C41">
        <v>107367</v>
      </c>
      <c r="D41">
        <v>851261</v>
      </c>
      <c r="E41">
        <v>17767</v>
      </c>
      <c r="F41">
        <v>40234</v>
      </c>
      <c r="G41">
        <v>325375</v>
      </c>
      <c r="H41" s="82">
        <v>51473</v>
      </c>
      <c r="I41" s="82">
        <v>90665</v>
      </c>
      <c r="J41" s="82">
        <v>108182</v>
      </c>
    </row>
    <row r="42" spans="1:12" ht="30" x14ac:dyDescent="0.25">
      <c r="A42" s="79" t="s">
        <v>93</v>
      </c>
      <c r="B42">
        <v>57.3</v>
      </c>
      <c r="C42">
        <v>66.900000000000006</v>
      </c>
      <c r="D42">
        <v>57.5</v>
      </c>
      <c r="E42">
        <v>74.7</v>
      </c>
      <c r="F42">
        <v>68.5</v>
      </c>
      <c r="G42">
        <v>61.2</v>
      </c>
      <c r="H42" s="83">
        <v>67.099999999999994</v>
      </c>
      <c r="I42" s="83">
        <v>62.6</v>
      </c>
      <c r="J42" s="83">
        <v>64.900000000000006</v>
      </c>
    </row>
    <row r="43" spans="1:12" ht="30" x14ac:dyDescent="0.25">
      <c r="A43" s="79" t="s">
        <v>94</v>
      </c>
      <c r="B43">
        <v>246000</v>
      </c>
      <c r="C43">
        <v>259000</v>
      </c>
      <c r="D43">
        <v>376200</v>
      </c>
      <c r="E43">
        <v>282400</v>
      </c>
      <c r="F43">
        <v>287600</v>
      </c>
      <c r="G43">
        <v>233800</v>
      </c>
      <c r="H43" s="82">
        <v>254900</v>
      </c>
      <c r="I43" s="82">
        <v>273000</v>
      </c>
      <c r="J43" s="82">
        <v>241300</v>
      </c>
    </row>
    <row r="44" spans="1:12" ht="30" x14ac:dyDescent="0.25">
      <c r="A44" s="79" t="s">
        <v>95</v>
      </c>
      <c r="B44">
        <v>1525</v>
      </c>
      <c r="C44">
        <v>1738</v>
      </c>
      <c r="D44">
        <v>2226</v>
      </c>
      <c r="E44">
        <v>1469</v>
      </c>
      <c r="F44">
        <v>1721</v>
      </c>
      <c r="G44">
        <v>1785</v>
      </c>
      <c r="H44" s="82">
        <v>1672</v>
      </c>
      <c r="I44" s="82">
        <v>1628</v>
      </c>
      <c r="J44" s="82">
        <v>1717</v>
      </c>
    </row>
    <row r="45" spans="1:12" ht="30" x14ac:dyDescent="0.25">
      <c r="A45" s="79" t="s">
        <v>96</v>
      </c>
      <c r="B45">
        <v>466</v>
      </c>
      <c r="C45">
        <v>514</v>
      </c>
      <c r="D45">
        <v>686</v>
      </c>
      <c r="E45">
        <v>453</v>
      </c>
      <c r="F45">
        <v>506</v>
      </c>
      <c r="G45">
        <v>545</v>
      </c>
      <c r="H45" s="82">
        <v>525</v>
      </c>
      <c r="I45" s="82">
        <v>477</v>
      </c>
      <c r="J45" s="82">
        <v>496</v>
      </c>
    </row>
    <row r="46" spans="1:12" x14ac:dyDescent="0.25">
      <c r="A46" s="79" t="s">
        <v>97</v>
      </c>
      <c r="B46">
        <v>809</v>
      </c>
      <c r="C46">
        <v>1043</v>
      </c>
      <c r="D46">
        <v>1161</v>
      </c>
      <c r="E46">
        <v>870</v>
      </c>
      <c r="F46">
        <v>1076</v>
      </c>
      <c r="G46">
        <v>1021</v>
      </c>
      <c r="H46" s="82">
        <v>961</v>
      </c>
      <c r="I46" s="82">
        <v>919</v>
      </c>
      <c r="J46" s="82">
        <v>1056</v>
      </c>
    </row>
    <row r="47" spans="1:12" x14ac:dyDescent="0.25">
      <c r="A47" s="79" t="s">
        <v>98</v>
      </c>
      <c r="B47">
        <v>283</v>
      </c>
      <c r="C47">
        <v>598</v>
      </c>
      <c r="D47">
        <v>14703</v>
      </c>
      <c r="E47">
        <v>121</v>
      </c>
      <c r="F47">
        <v>252</v>
      </c>
      <c r="G47">
        <v>3777</v>
      </c>
      <c r="H47" s="82">
        <v>274</v>
      </c>
      <c r="I47" s="82">
        <v>1007</v>
      </c>
      <c r="J47" s="82">
        <v>1003</v>
      </c>
    </row>
    <row r="48" spans="1:12" x14ac:dyDescent="0.25">
      <c r="A48" s="79" t="s">
        <v>99</v>
      </c>
      <c r="H48" s="82"/>
      <c r="I48" s="82"/>
      <c r="J48" s="82"/>
    </row>
    <row r="49" spans="1:20" x14ac:dyDescent="0.25">
      <c r="A49" s="79" t="s">
        <v>100</v>
      </c>
      <c r="B49" s="84">
        <v>16753</v>
      </c>
      <c r="C49" s="84">
        <v>97993</v>
      </c>
      <c r="D49" s="84">
        <v>808729</v>
      </c>
      <c r="E49" s="84">
        <v>13535</v>
      </c>
      <c r="F49" s="84">
        <v>32820</v>
      </c>
      <c r="G49" s="84">
        <v>301364</v>
      </c>
      <c r="H49" s="85">
        <v>45309</v>
      </c>
      <c r="I49" s="85">
        <v>79837</v>
      </c>
      <c r="J49" s="85">
        <v>101530</v>
      </c>
      <c r="K49" s="86">
        <f>+B50*B49</f>
        <v>39202.019999999997</v>
      </c>
      <c r="L49" s="86">
        <f>+C50*C49</f>
        <v>245962.43</v>
      </c>
      <c r="M49">
        <f t="shared" ref="M49:Q49" si="1">+D50*D49</f>
        <v>1973298.76</v>
      </c>
      <c r="N49">
        <f t="shared" si="1"/>
        <v>29100.25</v>
      </c>
      <c r="O49">
        <f t="shared" si="1"/>
        <v>77127</v>
      </c>
      <c r="P49">
        <f t="shared" si="1"/>
        <v>795600.96000000008</v>
      </c>
      <c r="Q49">
        <f t="shared" si="1"/>
        <v>116444.12999999999</v>
      </c>
      <c r="R49">
        <f>+I50*I49</f>
        <v>199592.5</v>
      </c>
      <c r="S49" s="86">
        <f>+J50*J49</f>
        <v>255855.6</v>
      </c>
      <c r="T49" s="86"/>
    </row>
    <row r="50" spans="1:20" x14ac:dyDescent="0.25">
      <c r="A50" s="87" t="s">
        <v>101</v>
      </c>
      <c r="B50" s="88">
        <v>2.34</v>
      </c>
      <c r="C50" s="88">
        <v>2.5099999999999998</v>
      </c>
      <c r="D50" s="88">
        <v>2.44</v>
      </c>
      <c r="E50" s="88">
        <v>2.15</v>
      </c>
      <c r="F50" s="88">
        <v>2.35</v>
      </c>
      <c r="G50" s="88">
        <v>2.64</v>
      </c>
      <c r="H50" s="89">
        <v>2.57</v>
      </c>
      <c r="I50" s="89">
        <v>2.5</v>
      </c>
      <c r="J50" s="89">
        <v>2.52</v>
      </c>
      <c r="K50" s="90">
        <f>ROUND(+AVERAGE(B50:J50),2)</f>
        <v>2.4500000000000002</v>
      </c>
      <c r="L50" s="90">
        <f>+SUM(K49:S49)/SUM(B49:J49)</f>
        <v>2.4916605913730829</v>
      </c>
      <c r="M50" s="90">
        <f>+AVERAGE(F50:J50,B50:D50)</f>
        <v>2.4837500000000001</v>
      </c>
      <c r="N50" s="90">
        <f>+SUM(K49:M49,O49:S49)/SUM(F49:J49,B49:D49)</f>
        <v>2.4947760444913043</v>
      </c>
    </row>
    <row r="51" spans="1:20" ht="30" x14ac:dyDescent="0.25">
      <c r="A51" s="79" t="s">
        <v>102</v>
      </c>
      <c r="B51">
        <v>71.3</v>
      </c>
      <c r="C51">
        <v>80.8</v>
      </c>
      <c r="D51">
        <v>81.3</v>
      </c>
      <c r="E51">
        <v>83.8</v>
      </c>
      <c r="F51">
        <v>83.2</v>
      </c>
      <c r="G51">
        <v>82.4</v>
      </c>
      <c r="H51" s="83">
        <v>83.1</v>
      </c>
      <c r="I51" s="83">
        <v>83</v>
      </c>
      <c r="J51" s="83">
        <v>81.400000000000006</v>
      </c>
      <c r="K51" t="s">
        <v>103</v>
      </c>
      <c r="L51" t="s">
        <v>104</v>
      </c>
      <c r="M51" t="s">
        <v>103</v>
      </c>
      <c r="N51" t="s">
        <v>104</v>
      </c>
    </row>
    <row r="52" spans="1:20" ht="45" x14ac:dyDescent="0.25">
      <c r="A52" s="79" t="s">
        <v>105</v>
      </c>
      <c r="B52">
        <v>8.9</v>
      </c>
      <c r="C52">
        <v>8.5</v>
      </c>
      <c r="D52">
        <v>26.4</v>
      </c>
      <c r="E52">
        <v>4.0999999999999996</v>
      </c>
      <c r="F52">
        <v>8.5</v>
      </c>
      <c r="G52">
        <v>14.8</v>
      </c>
      <c r="H52" s="83">
        <v>14.7</v>
      </c>
      <c r="I52" s="83">
        <v>12.3</v>
      </c>
      <c r="J52" s="83">
        <v>11.1</v>
      </c>
      <c r="M52" t="s">
        <v>106</v>
      </c>
    </row>
    <row r="53" spans="1:20" x14ac:dyDescent="0.25">
      <c r="A53" s="79" t="s">
        <v>107</v>
      </c>
      <c r="H53" s="82"/>
      <c r="I53" s="82"/>
      <c r="J53" s="82"/>
    </row>
    <row r="54" spans="1:20" ht="30" x14ac:dyDescent="0.25">
      <c r="A54" s="79" t="s">
        <v>108</v>
      </c>
      <c r="B54">
        <v>90.9</v>
      </c>
      <c r="C54">
        <v>94.1</v>
      </c>
      <c r="D54">
        <v>92.1</v>
      </c>
      <c r="E54">
        <v>94.4</v>
      </c>
      <c r="F54">
        <v>94.9</v>
      </c>
      <c r="G54">
        <v>90.5</v>
      </c>
      <c r="H54" s="83">
        <v>88.2</v>
      </c>
      <c r="I54" s="83">
        <v>91</v>
      </c>
      <c r="J54" s="83">
        <v>93.6</v>
      </c>
    </row>
    <row r="55" spans="1:20" ht="30" x14ac:dyDescent="0.25">
      <c r="A55" s="79" t="s">
        <v>109</v>
      </c>
      <c r="B55">
        <v>34</v>
      </c>
      <c r="C55">
        <v>30</v>
      </c>
      <c r="D55">
        <v>47.1</v>
      </c>
      <c r="E55">
        <v>37.299999999999997</v>
      </c>
      <c r="F55">
        <v>31.7</v>
      </c>
      <c r="G55">
        <v>24.2</v>
      </c>
      <c r="H55" s="83">
        <v>24.5</v>
      </c>
      <c r="I55" s="83">
        <v>32.4</v>
      </c>
      <c r="J55" s="83">
        <v>32.9</v>
      </c>
    </row>
    <row r="56" spans="1:20" x14ac:dyDescent="0.25">
      <c r="A56" s="79" t="s">
        <v>110</v>
      </c>
      <c r="H56" s="82"/>
      <c r="I56" s="82"/>
      <c r="J56" s="82"/>
    </row>
    <row r="57" spans="1:20" ht="30" x14ac:dyDescent="0.25">
      <c r="A57" s="79" t="s">
        <v>111</v>
      </c>
      <c r="B57">
        <v>9.1</v>
      </c>
      <c r="C57">
        <v>11.4</v>
      </c>
      <c r="D57">
        <v>6.4</v>
      </c>
      <c r="E57">
        <v>13.3</v>
      </c>
      <c r="F57">
        <v>9.4</v>
      </c>
      <c r="G57">
        <v>9.8000000000000007</v>
      </c>
      <c r="H57" s="83">
        <v>9.5</v>
      </c>
      <c r="I57" s="83">
        <v>9.4</v>
      </c>
      <c r="J57" s="83">
        <v>8.4</v>
      </c>
    </row>
    <row r="58" spans="1:20" ht="30" x14ac:dyDescent="0.25">
      <c r="A58" s="79" t="s">
        <v>112</v>
      </c>
      <c r="B58">
        <v>19.3</v>
      </c>
      <c r="C58">
        <v>13.6</v>
      </c>
      <c r="D58">
        <v>13.7</v>
      </c>
      <c r="E58">
        <v>17.899999999999999</v>
      </c>
      <c r="F58">
        <v>14.3</v>
      </c>
      <c r="G58">
        <v>14.8</v>
      </c>
      <c r="H58" s="83">
        <v>18.600000000000001</v>
      </c>
      <c r="I58" s="83">
        <v>18.7</v>
      </c>
      <c r="J58" s="83">
        <v>13.9</v>
      </c>
    </row>
    <row r="59" spans="1:20" x14ac:dyDescent="0.25">
      <c r="A59" s="79" t="s">
        <v>113</v>
      </c>
      <c r="H59" s="82"/>
      <c r="I59" s="82"/>
      <c r="J59" s="82"/>
    </row>
    <row r="60" spans="1:20" ht="30" x14ac:dyDescent="0.25">
      <c r="A60" s="79" t="s">
        <v>114</v>
      </c>
      <c r="B60">
        <v>60.8</v>
      </c>
      <c r="C60">
        <v>57.4</v>
      </c>
      <c r="D60">
        <v>69.400000000000006</v>
      </c>
      <c r="E60">
        <v>47.8</v>
      </c>
      <c r="F60">
        <v>54.3</v>
      </c>
      <c r="G60">
        <v>62.5</v>
      </c>
      <c r="H60" s="83">
        <v>58.9</v>
      </c>
      <c r="I60" s="83">
        <v>63.3</v>
      </c>
      <c r="J60" s="83">
        <v>62.1</v>
      </c>
    </row>
    <row r="61" spans="1:20" ht="30" x14ac:dyDescent="0.25">
      <c r="A61" s="79" t="s">
        <v>115</v>
      </c>
      <c r="B61">
        <v>57.2</v>
      </c>
      <c r="C61">
        <v>54.9</v>
      </c>
      <c r="D61">
        <v>63.4</v>
      </c>
      <c r="E61">
        <v>46.1</v>
      </c>
      <c r="F61">
        <v>52.4</v>
      </c>
      <c r="G61">
        <v>58.7</v>
      </c>
      <c r="H61" s="83">
        <v>53.8</v>
      </c>
      <c r="I61" s="83">
        <v>58.2</v>
      </c>
      <c r="J61" s="83">
        <v>59.5</v>
      </c>
    </row>
    <row r="62" spans="1:20" ht="30" x14ac:dyDescent="0.25">
      <c r="A62" s="79" t="s">
        <v>116</v>
      </c>
      <c r="B62">
        <v>101409</v>
      </c>
      <c r="C62">
        <v>425981</v>
      </c>
      <c r="D62">
        <v>6223768</v>
      </c>
      <c r="E62">
        <v>44908</v>
      </c>
      <c r="F62" t="s">
        <v>117</v>
      </c>
      <c r="G62">
        <v>1362981</v>
      </c>
      <c r="H62" s="82">
        <v>291510</v>
      </c>
      <c r="I62" s="82">
        <v>492949</v>
      </c>
      <c r="J62" s="82">
        <v>419185</v>
      </c>
    </row>
    <row r="63" spans="1:20" ht="30" x14ac:dyDescent="0.25">
      <c r="A63" s="79" t="s">
        <v>118</v>
      </c>
      <c r="B63">
        <v>114895</v>
      </c>
      <c r="C63">
        <v>1272843</v>
      </c>
      <c r="D63">
        <v>17719220</v>
      </c>
      <c r="E63">
        <v>127340</v>
      </c>
      <c r="F63">
        <v>228308</v>
      </c>
      <c r="G63">
        <v>5369260</v>
      </c>
      <c r="H63" s="82">
        <v>700349</v>
      </c>
      <c r="I63" s="82">
        <v>1026198</v>
      </c>
      <c r="J63" s="82">
        <v>1584793</v>
      </c>
    </row>
    <row r="64" spans="1:20" ht="30" x14ac:dyDescent="0.25">
      <c r="A64" s="79" t="s">
        <v>119</v>
      </c>
      <c r="B64" t="s">
        <v>117</v>
      </c>
      <c r="C64">
        <v>328168</v>
      </c>
      <c r="D64" t="s">
        <v>117</v>
      </c>
      <c r="E64" t="s">
        <v>117</v>
      </c>
      <c r="F64">
        <v>125716</v>
      </c>
      <c r="G64">
        <v>4461036</v>
      </c>
      <c r="H64" s="82">
        <v>11529427</v>
      </c>
      <c r="I64" s="82">
        <v>14932180</v>
      </c>
      <c r="J64" s="82">
        <v>910527</v>
      </c>
    </row>
    <row r="65" spans="1:10" ht="30" x14ac:dyDescent="0.25">
      <c r="A65" s="79" t="s">
        <v>120</v>
      </c>
      <c r="B65">
        <v>398681</v>
      </c>
      <c r="C65">
        <v>407880</v>
      </c>
      <c r="D65">
        <v>42092462</v>
      </c>
      <c r="E65" t="s">
        <v>117</v>
      </c>
      <c r="F65">
        <v>57537</v>
      </c>
      <c r="G65">
        <v>7705621</v>
      </c>
      <c r="H65" s="82">
        <v>793543</v>
      </c>
      <c r="I65" s="82" t="s">
        <v>117</v>
      </c>
      <c r="J65" s="82">
        <v>1252014</v>
      </c>
    </row>
    <row r="66" spans="1:10" x14ac:dyDescent="0.25">
      <c r="A66" s="79" t="s">
        <v>121</v>
      </c>
      <c r="B66">
        <v>515984</v>
      </c>
      <c r="C66">
        <v>2674165</v>
      </c>
      <c r="D66">
        <v>61598157</v>
      </c>
      <c r="E66">
        <v>209854</v>
      </c>
      <c r="F66">
        <v>456279</v>
      </c>
      <c r="G66">
        <v>10114397</v>
      </c>
      <c r="H66" s="82">
        <v>1999168</v>
      </c>
      <c r="I66" s="82">
        <v>3103604</v>
      </c>
      <c r="J66" s="82">
        <v>3330812</v>
      </c>
    </row>
    <row r="67" spans="1:10" x14ac:dyDescent="0.25">
      <c r="A67" s="79" t="s">
        <v>122</v>
      </c>
      <c r="B67">
        <v>12382</v>
      </c>
      <c r="C67">
        <v>10487</v>
      </c>
      <c r="D67">
        <v>30685</v>
      </c>
      <c r="E67">
        <v>7029</v>
      </c>
      <c r="F67">
        <v>5763</v>
      </c>
      <c r="G67">
        <v>12461</v>
      </c>
      <c r="H67" s="82">
        <v>16910</v>
      </c>
      <c r="I67" s="82">
        <v>15120</v>
      </c>
      <c r="J67" s="82">
        <v>12894</v>
      </c>
    </row>
    <row r="68" spans="1:10" x14ac:dyDescent="0.25">
      <c r="A68" s="79" t="s">
        <v>123</v>
      </c>
      <c r="H68" s="82"/>
      <c r="I68" s="82"/>
      <c r="J68" s="82"/>
    </row>
    <row r="69" spans="1:10" ht="30" x14ac:dyDescent="0.25">
      <c r="A69" s="79" t="s">
        <v>124</v>
      </c>
      <c r="B69">
        <v>22.1</v>
      </c>
      <c r="C69">
        <v>29.9</v>
      </c>
      <c r="D69">
        <v>27.4</v>
      </c>
      <c r="E69">
        <v>22.7</v>
      </c>
      <c r="F69">
        <v>27.7</v>
      </c>
      <c r="G69">
        <v>29</v>
      </c>
      <c r="H69" s="83">
        <v>25</v>
      </c>
      <c r="I69" s="83">
        <v>20.8</v>
      </c>
      <c r="J69" s="83">
        <v>24.6</v>
      </c>
    </row>
    <row r="70" spans="1:10" x14ac:dyDescent="0.25">
      <c r="A70" s="79" t="s">
        <v>125</v>
      </c>
      <c r="H70" s="82"/>
      <c r="I70" s="82"/>
      <c r="J70" s="82"/>
    </row>
    <row r="71" spans="1:10" ht="30" x14ac:dyDescent="0.25">
      <c r="A71" s="79" t="s">
        <v>126</v>
      </c>
      <c r="B71">
        <v>45406</v>
      </c>
      <c r="C71">
        <v>62473</v>
      </c>
      <c r="D71">
        <v>73035</v>
      </c>
      <c r="E71">
        <v>47202</v>
      </c>
      <c r="F71">
        <v>59107</v>
      </c>
      <c r="G71">
        <v>59711</v>
      </c>
      <c r="H71" s="82">
        <v>54917</v>
      </c>
      <c r="I71" s="82">
        <v>53025</v>
      </c>
      <c r="J71" s="82">
        <v>62286</v>
      </c>
    </row>
    <row r="72" spans="1:10" ht="30" x14ac:dyDescent="0.25">
      <c r="A72" s="79" t="s">
        <v>127</v>
      </c>
      <c r="B72">
        <v>23754</v>
      </c>
      <c r="C72">
        <v>31901</v>
      </c>
      <c r="D72">
        <v>40656</v>
      </c>
      <c r="E72">
        <v>28607</v>
      </c>
      <c r="F72">
        <v>31563</v>
      </c>
      <c r="G72">
        <v>28571</v>
      </c>
      <c r="H72" s="82">
        <v>27598</v>
      </c>
      <c r="I72" s="82">
        <v>26671</v>
      </c>
      <c r="J72" s="82">
        <v>29909</v>
      </c>
    </row>
    <row r="73" spans="1:10" x14ac:dyDescent="0.25">
      <c r="A73" s="79" t="s">
        <v>128</v>
      </c>
      <c r="B73">
        <v>18.600000000000001</v>
      </c>
      <c r="C73">
        <v>11.2</v>
      </c>
      <c r="D73">
        <v>11.3</v>
      </c>
      <c r="E73">
        <v>14.1</v>
      </c>
      <c r="F73">
        <v>10.3</v>
      </c>
      <c r="G73">
        <v>13.1</v>
      </c>
      <c r="H73" s="83">
        <v>15.7</v>
      </c>
      <c r="I73" s="83">
        <v>15.7</v>
      </c>
      <c r="J73" s="83">
        <v>11.9</v>
      </c>
    </row>
    <row r="74" spans="1:10" x14ac:dyDescent="0.25">
      <c r="A74" s="79" t="s">
        <v>129</v>
      </c>
      <c r="B74" t="s">
        <v>43</v>
      </c>
      <c r="C74" t="s">
        <v>44</v>
      </c>
      <c r="D74" t="s">
        <v>45</v>
      </c>
      <c r="E74" t="s">
        <v>46</v>
      </c>
      <c r="F74" t="s">
        <v>47</v>
      </c>
      <c r="G74" t="s">
        <v>48</v>
      </c>
      <c r="H74" s="82" t="s">
        <v>49</v>
      </c>
      <c r="I74" s="82" t="s">
        <v>50</v>
      </c>
      <c r="J74" s="82" t="s">
        <v>51</v>
      </c>
    </row>
    <row r="75" spans="1:10" x14ac:dyDescent="0.25">
      <c r="A75" s="79" t="s">
        <v>130</v>
      </c>
      <c r="B75">
        <v>1149</v>
      </c>
      <c r="C75">
        <v>5598</v>
      </c>
      <c r="D75">
        <v>64171</v>
      </c>
      <c r="E75">
        <v>1028</v>
      </c>
      <c r="F75">
        <v>1687</v>
      </c>
      <c r="G75">
        <v>16584</v>
      </c>
      <c r="H75" s="82">
        <v>3351</v>
      </c>
      <c r="I75" s="82">
        <v>6218</v>
      </c>
      <c r="J75" s="82">
        <v>5840</v>
      </c>
    </row>
    <row r="76" spans="1:10" x14ac:dyDescent="0.25">
      <c r="A76" s="79" t="s">
        <v>131</v>
      </c>
      <c r="B76">
        <v>10225</v>
      </c>
      <c r="C76">
        <v>55664</v>
      </c>
      <c r="D76">
        <v>1051249</v>
      </c>
      <c r="E76">
        <v>6365</v>
      </c>
      <c r="F76">
        <v>11378</v>
      </c>
      <c r="G76">
        <v>227238</v>
      </c>
      <c r="H76" s="82">
        <v>38170</v>
      </c>
      <c r="I76" s="82">
        <v>69793</v>
      </c>
      <c r="J76" s="82">
        <v>64870</v>
      </c>
    </row>
    <row r="77" spans="1:10" x14ac:dyDescent="0.25">
      <c r="A77" s="79" t="s">
        <v>132</v>
      </c>
      <c r="B77">
        <v>281816</v>
      </c>
      <c r="C77">
        <v>2046682</v>
      </c>
      <c r="D77">
        <v>71031270</v>
      </c>
      <c r="E77">
        <v>217236</v>
      </c>
      <c r="F77">
        <v>369882</v>
      </c>
      <c r="G77">
        <v>9435476</v>
      </c>
      <c r="H77" s="82">
        <v>1585357</v>
      </c>
      <c r="I77" s="82">
        <v>2803487</v>
      </c>
      <c r="J77" s="82">
        <v>2428398</v>
      </c>
    </row>
    <row r="78" spans="1:10" ht="30" x14ac:dyDescent="0.25">
      <c r="A78" s="79" t="s">
        <v>133</v>
      </c>
      <c r="B78">
        <v>4.5999999999999996</v>
      </c>
      <c r="C78">
        <v>0.8</v>
      </c>
      <c r="D78">
        <v>3.3</v>
      </c>
      <c r="E78">
        <v>-0.6</v>
      </c>
      <c r="F78" t="s">
        <v>134</v>
      </c>
      <c r="G78">
        <v>1.9</v>
      </c>
      <c r="H78" s="83">
        <v>3.1</v>
      </c>
      <c r="I78" s="83">
        <v>1.4</v>
      </c>
      <c r="J78" s="83">
        <v>0.3</v>
      </c>
    </row>
    <row r="79" spans="1:10" x14ac:dyDescent="0.25">
      <c r="A79" s="79" t="s">
        <v>135</v>
      </c>
      <c r="B79">
        <v>2363</v>
      </c>
      <c r="C79">
        <v>13526</v>
      </c>
      <c r="D79">
        <v>151561</v>
      </c>
      <c r="E79">
        <v>2975</v>
      </c>
      <c r="F79">
        <v>5613</v>
      </c>
      <c r="G79">
        <v>38934</v>
      </c>
      <c r="H79" s="82">
        <v>7287</v>
      </c>
      <c r="I79" s="82">
        <v>14229</v>
      </c>
      <c r="J79" s="82">
        <v>13931</v>
      </c>
    </row>
    <row r="80" spans="1:10" x14ac:dyDescent="0.25">
      <c r="A80" s="79" t="s">
        <v>136</v>
      </c>
      <c r="B80">
        <v>3128</v>
      </c>
      <c r="C80">
        <v>18206</v>
      </c>
      <c r="D80">
        <v>201404</v>
      </c>
      <c r="E80">
        <v>4347</v>
      </c>
      <c r="F80">
        <v>7083</v>
      </c>
      <c r="G80">
        <v>50503</v>
      </c>
      <c r="H80" s="82">
        <v>9505</v>
      </c>
      <c r="I80" s="82">
        <v>18054</v>
      </c>
      <c r="J80" s="82">
        <v>18842</v>
      </c>
    </row>
    <row r="81" spans="1:10" x14ac:dyDescent="0.25">
      <c r="A81" s="79" t="s">
        <v>137</v>
      </c>
      <c r="B81">
        <v>1248</v>
      </c>
      <c r="C81">
        <v>7934</v>
      </c>
      <c r="D81">
        <v>100912</v>
      </c>
      <c r="E81">
        <v>1883</v>
      </c>
      <c r="F81">
        <v>2966</v>
      </c>
      <c r="G81">
        <v>23389</v>
      </c>
      <c r="H81" s="82">
        <v>4460</v>
      </c>
      <c r="I81" s="82">
        <v>8898</v>
      </c>
      <c r="J81" s="82">
        <v>8970</v>
      </c>
    </row>
    <row r="82" spans="1:10" x14ac:dyDescent="0.25">
      <c r="A82" s="79" t="s">
        <v>138</v>
      </c>
      <c r="B82">
        <v>1029</v>
      </c>
      <c r="C82">
        <v>6698</v>
      </c>
      <c r="D82">
        <v>71005</v>
      </c>
      <c r="E82">
        <v>1608</v>
      </c>
      <c r="F82">
        <v>2788</v>
      </c>
      <c r="G82">
        <v>18469</v>
      </c>
      <c r="H82" s="82">
        <v>2889</v>
      </c>
      <c r="I82" s="82">
        <v>5810</v>
      </c>
      <c r="J82" s="82">
        <v>6797</v>
      </c>
    </row>
    <row r="83" spans="1:10" x14ac:dyDescent="0.25">
      <c r="A83" s="79" t="s">
        <v>139</v>
      </c>
      <c r="B83">
        <v>153</v>
      </c>
      <c r="C83">
        <v>1947</v>
      </c>
      <c r="D83">
        <v>45508</v>
      </c>
      <c r="E83">
        <v>173</v>
      </c>
      <c r="F83">
        <v>520</v>
      </c>
      <c r="G83">
        <v>9316</v>
      </c>
      <c r="H83" s="82">
        <v>1028</v>
      </c>
      <c r="I83" s="82">
        <v>1802</v>
      </c>
      <c r="J83" s="82">
        <v>2758</v>
      </c>
    </row>
    <row r="84" spans="1:10" x14ac:dyDescent="0.25">
      <c r="A84" s="79" t="s">
        <v>140</v>
      </c>
      <c r="B84">
        <v>2832</v>
      </c>
      <c r="C84">
        <v>15307</v>
      </c>
      <c r="D84">
        <v>145726</v>
      </c>
      <c r="E84">
        <v>4041</v>
      </c>
      <c r="F84">
        <v>6128</v>
      </c>
      <c r="G84">
        <v>38961</v>
      </c>
      <c r="H84" s="82">
        <v>8059</v>
      </c>
      <c r="I84" s="82">
        <v>15340</v>
      </c>
      <c r="J84" s="82">
        <v>15115</v>
      </c>
    </row>
    <row r="85" spans="1:10" x14ac:dyDescent="0.25">
      <c r="A85" s="79" t="s">
        <v>141</v>
      </c>
      <c r="B85">
        <v>232</v>
      </c>
      <c r="C85">
        <v>2015</v>
      </c>
      <c r="D85">
        <v>15016</v>
      </c>
      <c r="E85">
        <v>444</v>
      </c>
      <c r="F85">
        <v>905</v>
      </c>
      <c r="G85">
        <v>5147</v>
      </c>
      <c r="H85" s="82">
        <v>845</v>
      </c>
      <c r="I85" s="82">
        <v>1751</v>
      </c>
      <c r="J85" s="82">
        <v>2288</v>
      </c>
    </row>
    <row r="86" spans="1:10" x14ac:dyDescent="0.25">
      <c r="A86" s="79" t="s">
        <v>142</v>
      </c>
      <c r="B86">
        <v>2626</v>
      </c>
      <c r="C86">
        <v>14716</v>
      </c>
      <c r="D86">
        <v>175951</v>
      </c>
      <c r="E86">
        <v>3639</v>
      </c>
      <c r="F86">
        <v>5639</v>
      </c>
      <c r="G86">
        <v>42005</v>
      </c>
      <c r="H86" s="82">
        <v>7902</v>
      </c>
      <c r="I86" s="82">
        <v>15060</v>
      </c>
      <c r="J86" s="82">
        <v>15225</v>
      </c>
    </row>
    <row r="87" spans="1:10" x14ac:dyDescent="0.25">
      <c r="A87" s="79" t="s">
        <v>143</v>
      </c>
      <c r="B87" t="s">
        <v>43</v>
      </c>
      <c r="C87" t="s">
        <v>44</v>
      </c>
      <c r="D87" t="s">
        <v>45</v>
      </c>
      <c r="E87" t="s">
        <v>46</v>
      </c>
      <c r="F87" t="s">
        <v>47</v>
      </c>
      <c r="G87" t="s">
        <v>48</v>
      </c>
      <c r="H87" s="82" t="s">
        <v>49</v>
      </c>
      <c r="I87" s="82" t="s">
        <v>50</v>
      </c>
      <c r="J87" s="82" t="s">
        <v>51</v>
      </c>
    </row>
    <row r="88" spans="1:10" x14ac:dyDescent="0.25">
      <c r="A88" s="79" t="s">
        <v>144</v>
      </c>
      <c r="B88">
        <v>17.8</v>
      </c>
      <c r="C88">
        <v>635.9</v>
      </c>
      <c r="D88">
        <v>912.9</v>
      </c>
      <c r="E88">
        <v>16.600000000000001</v>
      </c>
      <c r="F88">
        <v>376.6</v>
      </c>
      <c r="G88">
        <v>476.3</v>
      </c>
      <c r="H88" s="83">
        <v>67.5</v>
      </c>
      <c r="I88" s="83">
        <v>95.5</v>
      </c>
      <c r="J88" s="83">
        <v>349.4</v>
      </c>
    </row>
    <row r="89" spans="1:10" x14ac:dyDescent="0.25">
      <c r="A89" s="79" t="s">
        <v>145</v>
      </c>
      <c r="B89">
        <v>2297.27</v>
      </c>
      <c r="C89">
        <v>394.94</v>
      </c>
      <c r="D89">
        <v>2115.5700000000002</v>
      </c>
      <c r="E89">
        <v>1803.7</v>
      </c>
      <c r="F89">
        <v>208.45</v>
      </c>
      <c r="G89">
        <v>1669.51</v>
      </c>
      <c r="H89" s="91">
        <v>1731.2</v>
      </c>
      <c r="I89" s="91">
        <v>2106.86</v>
      </c>
      <c r="J89" s="91">
        <v>721.96</v>
      </c>
    </row>
    <row r="90" spans="1:10" x14ac:dyDescent="0.25">
      <c r="A90" s="79" t="s">
        <v>146</v>
      </c>
      <c r="B90" t="s">
        <v>147</v>
      </c>
      <c r="C90" t="s">
        <v>148</v>
      </c>
      <c r="D90" t="s">
        <v>149</v>
      </c>
      <c r="E90" t="s">
        <v>150</v>
      </c>
      <c r="F90" t="s">
        <v>151</v>
      </c>
      <c r="G90" t="s">
        <v>152</v>
      </c>
      <c r="H90" s="82" t="s">
        <v>153</v>
      </c>
      <c r="I90" s="82" t="s">
        <v>154</v>
      </c>
      <c r="J90" s="82" t="s">
        <v>155</v>
      </c>
    </row>
    <row r="91" spans="1:10" x14ac:dyDescent="0.25">
      <c r="H91" s="82"/>
      <c r="I91" s="82"/>
      <c r="J91" s="82"/>
    </row>
    <row r="92" spans="1:10" ht="45" x14ac:dyDescent="0.25">
      <c r="A92" s="79" t="s">
        <v>156</v>
      </c>
      <c r="H92" s="82"/>
      <c r="I92" s="82"/>
      <c r="J92" s="82"/>
    </row>
    <row r="93" spans="1:10" x14ac:dyDescent="0.25">
      <c r="H93" s="82"/>
      <c r="I93" s="82"/>
      <c r="J93" s="82"/>
    </row>
    <row r="94" spans="1:10" ht="150" x14ac:dyDescent="0.25">
      <c r="A94" s="79" t="s">
        <v>157</v>
      </c>
      <c r="H94" s="82"/>
      <c r="I94" s="82"/>
      <c r="J94" s="82"/>
    </row>
    <row r="95" spans="1:10" x14ac:dyDescent="0.25">
      <c r="H95" s="82"/>
      <c r="I95" s="82"/>
      <c r="J95" s="82"/>
    </row>
    <row r="96" spans="1:10" ht="60" x14ac:dyDescent="0.25">
      <c r="A96" s="79" t="s">
        <v>158</v>
      </c>
      <c r="H96" s="82"/>
      <c r="I96" s="82"/>
      <c r="J96" s="82"/>
    </row>
    <row r="97" spans="1:10" x14ac:dyDescent="0.25">
      <c r="H97" s="82"/>
      <c r="I97" s="82"/>
      <c r="J97" s="82"/>
    </row>
    <row r="98" spans="1:10" x14ac:dyDescent="0.25">
      <c r="A98" s="79" t="s">
        <v>159</v>
      </c>
      <c r="H98" s="82"/>
      <c r="I98" s="82"/>
      <c r="J98" s="82"/>
    </row>
    <row r="99" spans="1:10" ht="30" x14ac:dyDescent="0.25">
      <c r="A99" s="79" t="s">
        <v>160</v>
      </c>
      <c r="H99" s="82"/>
      <c r="I99" s="82"/>
      <c r="J99" s="82"/>
    </row>
    <row r="100" spans="1:10" ht="45" x14ac:dyDescent="0.25">
      <c r="A100" s="79" t="s">
        <v>161</v>
      </c>
      <c r="H100" s="82"/>
      <c r="I100" s="82"/>
      <c r="J100" s="82"/>
    </row>
    <row r="101" spans="1:10" x14ac:dyDescent="0.25">
      <c r="H101" s="82"/>
      <c r="I101" s="82"/>
      <c r="J101" s="82"/>
    </row>
    <row r="102" spans="1:10" ht="30" x14ac:dyDescent="0.25">
      <c r="A102" s="79" t="s">
        <v>162</v>
      </c>
      <c r="H102" s="82"/>
      <c r="I102" s="82"/>
      <c r="J102" s="82"/>
    </row>
    <row r="103" spans="1:10" x14ac:dyDescent="0.25">
      <c r="A103" s="79" t="s">
        <v>163</v>
      </c>
      <c r="H103" s="82"/>
      <c r="I103" s="82"/>
      <c r="J103" s="82"/>
    </row>
    <row r="104" spans="1:10" x14ac:dyDescent="0.25">
      <c r="A104" s="79" t="s">
        <v>164</v>
      </c>
      <c r="H104" s="82"/>
      <c r="I104" s="82"/>
      <c r="J104" s="82"/>
    </row>
    <row r="105" spans="1:10" x14ac:dyDescent="0.25">
      <c r="A105" s="79" t="s">
        <v>165</v>
      </c>
      <c r="H105" s="82"/>
      <c r="I105" s="82"/>
      <c r="J105" s="82"/>
    </row>
    <row r="106" spans="1:10" ht="30" x14ac:dyDescent="0.25">
      <c r="A106" s="79" t="s">
        <v>166</v>
      </c>
      <c r="H106" s="82"/>
      <c r="I106" s="82"/>
      <c r="J106" s="82"/>
    </row>
    <row r="107" spans="1:10" x14ac:dyDescent="0.25">
      <c r="A107" s="79" t="s">
        <v>167</v>
      </c>
      <c r="H107" s="82"/>
      <c r="I107" s="82"/>
      <c r="J107" s="82"/>
    </row>
    <row r="108" spans="1:10" ht="30" x14ac:dyDescent="0.25">
      <c r="A108" s="79" t="s">
        <v>168</v>
      </c>
      <c r="H108" s="82"/>
      <c r="I108" s="82"/>
      <c r="J108" s="82"/>
    </row>
    <row r="109" spans="1:10" x14ac:dyDescent="0.25">
      <c r="H109" s="82"/>
      <c r="I109" s="82"/>
      <c r="J109" s="82"/>
    </row>
    <row r="110" spans="1:10" ht="150" x14ac:dyDescent="0.25">
      <c r="A110" s="79" t="s">
        <v>169</v>
      </c>
      <c r="H110" s="82"/>
      <c r="I110" s="82"/>
      <c r="J110" s="82"/>
    </row>
    <row r="111" spans="1:10" x14ac:dyDescent="0.25">
      <c r="H111" s="82"/>
      <c r="I111" s="82"/>
      <c r="J111" s="82"/>
    </row>
    <row r="112" spans="1:10" x14ac:dyDescent="0.25">
      <c r="H112" s="82"/>
      <c r="I112" s="82"/>
      <c r="J112" s="82"/>
    </row>
    <row r="113" spans="8:10" x14ac:dyDescent="0.25">
      <c r="H113" s="82"/>
      <c r="I113" s="82"/>
      <c r="J113" s="82"/>
    </row>
    <row r="114" spans="8:10" x14ac:dyDescent="0.25">
      <c r="H114" s="82"/>
      <c r="I114" s="82"/>
      <c r="J114" s="82"/>
    </row>
    <row r="115" spans="8:10" x14ac:dyDescent="0.25">
      <c r="H115" s="82"/>
      <c r="I115" s="82"/>
      <c r="J115" s="82"/>
    </row>
    <row r="116" spans="8:10" x14ac:dyDescent="0.25">
      <c r="H116" s="82"/>
      <c r="I116" s="82"/>
      <c r="J116" s="82"/>
    </row>
    <row r="117" spans="8:10" x14ac:dyDescent="0.25">
      <c r="H117" s="82"/>
      <c r="I117" s="82"/>
      <c r="J117" s="82"/>
    </row>
    <row r="118" spans="8:10" x14ac:dyDescent="0.25">
      <c r="H118" s="82"/>
      <c r="I118" s="82"/>
      <c r="J118" s="82"/>
    </row>
    <row r="119" spans="8:10" x14ac:dyDescent="0.25">
      <c r="H119" s="82"/>
      <c r="I119" s="82"/>
      <c r="J119" s="82"/>
    </row>
    <row r="120" spans="8:10" x14ac:dyDescent="0.25">
      <c r="H120" s="82"/>
      <c r="I120" s="82"/>
      <c r="J120" s="82"/>
    </row>
  </sheetData>
  <printOptions headings="1" gridLines="1"/>
  <pageMargins left="0.7" right="0.7" top="0.75" bottom="0.75" header="0.3" footer="0.3"/>
  <pageSetup scale="27"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J162"/>
  <sheetViews>
    <sheetView showGridLines="0" topLeftCell="B52" workbookViewId="0">
      <selection activeCell="B81" sqref="B81"/>
    </sheetView>
  </sheetViews>
  <sheetFormatPr defaultRowHeight="15" x14ac:dyDescent="0.25"/>
  <cols>
    <col min="1" max="1" width="9.140625" style="143"/>
    <col min="2" max="2" width="46.140625" style="143" customWidth="1"/>
    <col min="3" max="3" width="13.7109375" style="143" customWidth="1"/>
    <col min="4" max="4" width="12.5703125" style="143" customWidth="1"/>
    <col min="5" max="5" width="13.5703125" style="143" customWidth="1"/>
    <col min="6" max="6" width="9.140625" style="143"/>
    <col min="7" max="8" width="21.85546875" style="143" customWidth="1"/>
    <col min="9" max="9" width="12.28515625" style="149" customWidth="1"/>
    <col min="10" max="10" width="16.7109375" style="143" customWidth="1"/>
    <col min="11" max="16384" width="9.140625" style="143"/>
  </cols>
  <sheetData>
    <row r="2" spans="2:10" ht="25.5" customHeight="1" x14ac:dyDescent="0.25">
      <c r="B2" s="171" t="s">
        <v>489</v>
      </c>
      <c r="C2" s="179"/>
      <c r="D2" s="146"/>
      <c r="E2" s="146"/>
      <c r="F2" s="146"/>
      <c r="G2" s="180" t="s">
        <v>2</v>
      </c>
      <c r="H2" s="146"/>
      <c r="I2" s="176">
        <v>1004</v>
      </c>
      <c r="J2" s="146" t="s">
        <v>6</v>
      </c>
    </row>
    <row r="3" spans="2:10" ht="26.25" customHeight="1" x14ac:dyDescent="0.25">
      <c r="B3" s="233" t="s">
        <v>0</v>
      </c>
      <c r="C3" s="228" t="s">
        <v>478</v>
      </c>
      <c r="D3" s="228" t="s">
        <v>480</v>
      </c>
      <c r="E3" s="228" t="s">
        <v>479</v>
      </c>
      <c r="F3" s="149"/>
      <c r="G3" s="168" t="s">
        <v>9</v>
      </c>
      <c r="H3" s="169">
        <v>2017</v>
      </c>
      <c r="I3" s="177"/>
    </row>
    <row r="4" spans="2:10" ht="26.25" customHeight="1" x14ac:dyDescent="0.25">
      <c r="B4" s="234"/>
      <c r="C4" s="232"/>
      <c r="D4" s="232"/>
      <c r="E4" s="232"/>
      <c r="F4" s="155"/>
      <c r="I4" s="178"/>
    </row>
    <row r="5" spans="2:10" ht="26.25" customHeight="1" x14ac:dyDescent="0.25">
      <c r="B5" s="223" t="s">
        <v>476</v>
      </c>
      <c r="C5" s="224"/>
      <c r="D5" s="224"/>
      <c r="E5" s="225"/>
      <c r="I5" s="178"/>
    </row>
    <row r="6" spans="2:10" ht="15" customHeight="1" x14ac:dyDescent="0.25">
      <c r="B6" s="145" t="s">
        <v>194</v>
      </c>
      <c r="C6" s="151">
        <v>55283</v>
      </c>
      <c r="D6" s="174">
        <f>IF(C6&gt;0,$I$2,$I$11)</f>
        <v>1004</v>
      </c>
      <c r="E6" s="175">
        <f t="shared" ref="E6:E69" si="0">(+C6*D6)/2000</f>
        <v>27752.065999999999</v>
      </c>
      <c r="I6" s="178"/>
    </row>
    <row r="7" spans="2:10" ht="15" customHeight="1" x14ac:dyDescent="0.25">
      <c r="B7" s="145" t="s">
        <v>173</v>
      </c>
      <c r="C7" s="151">
        <v>21064.639999999999</v>
      </c>
      <c r="D7" s="174">
        <f t="shared" ref="D7:D70" si="1">IF(C7&gt;0,$I$2,$I$11)</f>
        <v>1004</v>
      </c>
      <c r="E7" s="175">
        <f t="shared" si="0"/>
        <v>10574.449279999999</v>
      </c>
      <c r="I7" s="178"/>
    </row>
    <row r="8" spans="2:10" ht="15" customHeight="1" x14ac:dyDescent="0.25">
      <c r="B8" s="145" t="s">
        <v>198</v>
      </c>
      <c r="C8" s="151">
        <v>-2600</v>
      </c>
      <c r="D8" s="174">
        <f t="shared" si="1"/>
        <v>1092.270326517307</v>
      </c>
      <c r="E8" s="175">
        <f t="shared" si="0"/>
        <v>-1419.9514244724992</v>
      </c>
      <c r="F8" s="149"/>
      <c r="I8" s="178"/>
    </row>
    <row r="9" spans="2:10" ht="15" customHeight="1" x14ac:dyDescent="0.25">
      <c r="B9" s="145" t="s">
        <v>201</v>
      </c>
      <c r="C9" s="151">
        <v>217861</v>
      </c>
      <c r="D9" s="174">
        <f t="shared" si="1"/>
        <v>1004</v>
      </c>
      <c r="E9" s="175">
        <f t="shared" si="0"/>
        <v>109366.22199999999</v>
      </c>
      <c r="F9" s="155"/>
      <c r="H9" s="147" t="s">
        <v>483</v>
      </c>
      <c r="I9" s="176">
        <f>'2017 Known'!C70</f>
        <v>18364274.908000004</v>
      </c>
      <c r="J9" s="143" t="s">
        <v>456</v>
      </c>
    </row>
    <row r="10" spans="2:10" ht="15" customHeight="1" x14ac:dyDescent="0.25">
      <c r="B10" s="145" t="s">
        <v>175</v>
      </c>
      <c r="C10" s="151">
        <v>98054</v>
      </c>
      <c r="D10" s="174">
        <f t="shared" si="1"/>
        <v>1004</v>
      </c>
      <c r="E10" s="175">
        <f t="shared" si="0"/>
        <v>49223.108</v>
      </c>
      <c r="G10" s="144"/>
      <c r="H10" s="147" t="s">
        <v>484</v>
      </c>
      <c r="I10" s="176">
        <f>'2017 Known'!E70</f>
        <v>10029376.275007376</v>
      </c>
      <c r="J10" s="143" t="s">
        <v>457</v>
      </c>
    </row>
    <row r="11" spans="2:10" ht="15" customHeight="1" x14ac:dyDescent="0.25">
      <c r="B11" s="145" t="s">
        <v>381</v>
      </c>
      <c r="C11" s="151">
        <v>22036.59</v>
      </c>
      <c r="D11" s="174">
        <f t="shared" si="1"/>
        <v>1004</v>
      </c>
      <c r="E11" s="175">
        <f t="shared" si="0"/>
        <v>11062.368179999999</v>
      </c>
      <c r="H11" s="147" t="s">
        <v>485</v>
      </c>
      <c r="I11" s="176">
        <f>(I10*2000)/I9</f>
        <v>1092.270326517307</v>
      </c>
      <c r="J11" s="143" t="s">
        <v>6</v>
      </c>
    </row>
    <row r="12" spans="2:10" ht="15" customHeight="1" x14ac:dyDescent="0.25">
      <c r="B12" s="145" t="s">
        <v>374</v>
      </c>
      <c r="C12" s="151">
        <v>159</v>
      </c>
      <c r="D12" s="174">
        <f t="shared" si="1"/>
        <v>1004</v>
      </c>
      <c r="E12" s="175">
        <f t="shared" si="0"/>
        <v>79.817999999999998</v>
      </c>
      <c r="G12" s="168" t="s">
        <v>9</v>
      </c>
      <c r="H12" s="169">
        <v>2017</v>
      </c>
      <c r="I12" s="177"/>
    </row>
    <row r="13" spans="2:10" ht="15" customHeight="1" x14ac:dyDescent="0.25">
      <c r="B13" s="145" t="s">
        <v>382</v>
      </c>
      <c r="C13" s="151">
        <v>86309</v>
      </c>
      <c r="D13" s="174">
        <f t="shared" si="1"/>
        <v>1004</v>
      </c>
      <c r="E13" s="175">
        <f t="shared" si="0"/>
        <v>43327.118000000002</v>
      </c>
    </row>
    <row r="14" spans="2:10" x14ac:dyDescent="0.25">
      <c r="B14" s="145" t="s">
        <v>434</v>
      </c>
      <c r="C14" s="151">
        <v>17365</v>
      </c>
      <c r="D14" s="174">
        <f t="shared" si="1"/>
        <v>1004</v>
      </c>
      <c r="E14" s="175">
        <f t="shared" si="0"/>
        <v>8717.23</v>
      </c>
    </row>
    <row r="15" spans="2:10" x14ac:dyDescent="0.25">
      <c r="B15" s="145" t="s">
        <v>383</v>
      </c>
      <c r="C15" s="151">
        <v>38848.949999999997</v>
      </c>
      <c r="D15" s="174">
        <f t="shared" si="1"/>
        <v>1004</v>
      </c>
      <c r="E15" s="175">
        <f t="shared" si="0"/>
        <v>19502.172899999998</v>
      </c>
    </row>
    <row r="16" spans="2:10" x14ac:dyDescent="0.25">
      <c r="B16" s="145" t="s">
        <v>384</v>
      </c>
      <c r="C16" s="151">
        <v>8707</v>
      </c>
      <c r="D16" s="174">
        <f t="shared" si="1"/>
        <v>1004</v>
      </c>
      <c r="E16" s="175">
        <f t="shared" si="0"/>
        <v>4370.9139999999998</v>
      </c>
    </row>
    <row r="17" spans="2:6" s="143" customFormat="1" x14ac:dyDescent="0.25">
      <c r="B17" s="145" t="s">
        <v>202</v>
      </c>
      <c r="C17" s="151">
        <v>409</v>
      </c>
      <c r="D17" s="174">
        <f t="shared" si="1"/>
        <v>1004</v>
      </c>
      <c r="E17" s="175">
        <f t="shared" si="0"/>
        <v>205.31800000000001</v>
      </c>
    </row>
    <row r="18" spans="2:6" s="143" customFormat="1" x14ac:dyDescent="0.25">
      <c r="B18" s="145" t="s">
        <v>205</v>
      </c>
      <c r="C18" s="151">
        <v>33124.885999999999</v>
      </c>
      <c r="D18" s="174">
        <f t="shared" si="1"/>
        <v>1004</v>
      </c>
      <c r="E18" s="175">
        <f t="shared" si="0"/>
        <v>16628.692771999999</v>
      </c>
    </row>
    <row r="19" spans="2:6" s="143" customFormat="1" x14ac:dyDescent="0.25">
      <c r="B19" s="145" t="s">
        <v>376</v>
      </c>
      <c r="C19" s="151">
        <v>-8712.773000000001</v>
      </c>
      <c r="D19" s="174">
        <f t="shared" si="1"/>
        <v>1092.270326517307</v>
      </c>
      <c r="E19" s="175">
        <f t="shared" si="0"/>
        <v>-4758.3517047905889</v>
      </c>
    </row>
    <row r="20" spans="2:6" s="143" customFormat="1" x14ac:dyDescent="0.25">
      <c r="B20" s="145" t="s">
        <v>206</v>
      </c>
      <c r="C20" s="151">
        <v>23659</v>
      </c>
      <c r="D20" s="174">
        <f t="shared" si="1"/>
        <v>1004</v>
      </c>
      <c r="E20" s="175">
        <f t="shared" si="0"/>
        <v>11876.817999999999</v>
      </c>
      <c r="F20" s="215"/>
    </row>
    <row r="21" spans="2:6" s="143" customFormat="1" x14ac:dyDescent="0.25">
      <c r="B21" s="145" t="s">
        <v>207</v>
      </c>
      <c r="C21" s="151">
        <v>-252611</v>
      </c>
      <c r="D21" s="174">
        <f t="shared" si="1"/>
        <v>1092.270326517307</v>
      </c>
      <c r="E21" s="175">
        <f t="shared" si="0"/>
        <v>-137959.74972593173</v>
      </c>
      <c r="F21" s="215"/>
    </row>
    <row r="22" spans="2:6" s="143" customFormat="1" x14ac:dyDescent="0.25">
      <c r="B22" s="145" t="s">
        <v>176</v>
      </c>
      <c r="C22" s="151">
        <v>157955</v>
      </c>
      <c r="D22" s="174">
        <f t="shared" si="1"/>
        <v>1004</v>
      </c>
      <c r="E22" s="175">
        <f t="shared" si="0"/>
        <v>79293.41</v>
      </c>
      <c r="F22" s="215"/>
    </row>
    <row r="23" spans="2:6" s="143" customFormat="1" x14ac:dyDescent="0.25">
      <c r="B23" s="145" t="s">
        <v>208</v>
      </c>
      <c r="C23" s="151">
        <v>-52667</v>
      </c>
      <c r="D23" s="174">
        <f t="shared" si="1"/>
        <v>1092.270326517307</v>
      </c>
      <c r="E23" s="175">
        <f t="shared" si="0"/>
        <v>-28763.300643343504</v>
      </c>
      <c r="F23" s="215"/>
    </row>
    <row r="24" spans="2:6" s="143" customFormat="1" x14ac:dyDescent="0.25">
      <c r="B24" s="145" t="s">
        <v>189</v>
      </c>
      <c r="C24" s="151">
        <v>312832</v>
      </c>
      <c r="D24" s="174">
        <f t="shared" si="1"/>
        <v>1004</v>
      </c>
      <c r="E24" s="175">
        <f t="shared" si="0"/>
        <v>157041.66399999999</v>
      </c>
      <c r="F24" s="215"/>
    </row>
    <row r="25" spans="2:6" s="143" customFormat="1" x14ac:dyDescent="0.25">
      <c r="B25" s="145" t="s">
        <v>212</v>
      </c>
      <c r="C25" s="151">
        <v>-2830</v>
      </c>
      <c r="D25" s="174">
        <f t="shared" si="1"/>
        <v>1092.270326517307</v>
      </c>
      <c r="E25" s="175">
        <f t="shared" si="0"/>
        <v>-1545.5625120219893</v>
      </c>
      <c r="F25" s="215"/>
    </row>
    <row r="26" spans="2:6" s="143" customFormat="1" x14ac:dyDescent="0.25">
      <c r="B26" s="145" t="s">
        <v>213</v>
      </c>
      <c r="C26" s="151">
        <v>-7310</v>
      </c>
      <c r="D26" s="174">
        <f t="shared" si="1"/>
        <v>1092.270326517307</v>
      </c>
      <c r="E26" s="175">
        <f t="shared" si="0"/>
        <v>-3992.2480434207573</v>
      </c>
      <c r="F26" s="215"/>
    </row>
    <row r="27" spans="2:6" s="143" customFormat="1" x14ac:dyDescent="0.25">
      <c r="B27" s="145" t="s">
        <v>377</v>
      </c>
      <c r="C27" s="151">
        <v>105630.905</v>
      </c>
      <c r="D27" s="214">
        <f>IF(C27&gt;0,$I$2,0)</f>
        <v>1004</v>
      </c>
      <c r="E27" s="175">
        <f t="shared" si="0"/>
        <v>53026.714310000003</v>
      </c>
      <c r="F27" s="216"/>
    </row>
    <row r="28" spans="2:6" s="143" customFormat="1" x14ac:dyDescent="0.25">
      <c r="B28" s="145" t="s">
        <v>214</v>
      </c>
      <c r="C28" s="151">
        <v>-8000</v>
      </c>
      <c r="D28" s="174">
        <f t="shared" si="1"/>
        <v>1092.270326517307</v>
      </c>
      <c r="E28" s="175">
        <f t="shared" si="0"/>
        <v>-4369.081306069228</v>
      </c>
      <c r="F28" s="216"/>
    </row>
    <row r="29" spans="2:6" s="143" customFormat="1" x14ac:dyDescent="0.25">
      <c r="B29" s="145" t="s">
        <v>178</v>
      </c>
      <c r="C29" s="151">
        <v>-25311.027999999998</v>
      </c>
      <c r="D29" s="174">
        <f t="shared" si="1"/>
        <v>1092.270326517307</v>
      </c>
      <c r="E29" s="175">
        <f t="shared" si="0"/>
        <v>-13823.242409024348</v>
      </c>
      <c r="F29" s="216"/>
    </row>
    <row r="30" spans="2:6" s="143" customFormat="1" x14ac:dyDescent="0.25">
      <c r="B30" s="145" t="s">
        <v>179</v>
      </c>
      <c r="C30" s="151">
        <v>212117</v>
      </c>
      <c r="D30" s="174">
        <f t="shared" si="1"/>
        <v>1004</v>
      </c>
      <c r="E30" s="175">
        <f t="shared" si="0"/>
        <v>106482.734</v>
      </c>
      <c r="F30" s="216"/>
    </row>
    <row r="31" spans="2:6" s="143" customFormat="1" x14ac:dyDescent="0.25">
      <c r="B31" s="145" t="s">
        <v>323</v>
      </c>
      <c r="C31" s="151">
        <v>20574.114999999991</v>
      </c>
      <c r="D31" s="174">
        <f t="shared" si="1"/>
        <v>1004</v>
      </c>
      <c r="E31" s="175">
        <f t="shared" si="0"/>
        <v>10328.205729999994</v>
      </c>
      <c r="F31" s="216"/>
    </row>
    <row r="32" spans="2:6" s="143" customFormat="1" x14ac:dyDescent="0.25">
      <c r="B32" s="145" t="s">
        <v>219</v>
      </c>
      <c r="C32" s="151">
        <v>475784</v>
      </c>
      <c r="D32" s="174">
        <f t="shared" si="1"/>
        <v>1004</v>
      </c>
      <c r="E32" s="175">
        <f t="shared" si="0"/>
        <v>238843.568</v>
      </c>
      <c r="F32" s="216"/>
    </row>
    <row r="33" spans="2:6" s="143" customFormat="1" x14ac:dyDescent="0.25">
      <c r="B33" s="145" t="s">
        <v>299</v>
      </c>
      <c r="C33" s="151">
        <v>1723.08</v>
      </c>
      <c r="D33" s="214">
        <f>IF(C33&gt;0,$I$2,0)</f>
        <v>1004</v>
      </c>
      <c r="E33" s="175">
        <f t="shared" si="0"/>
        <v>864.98615999999993</v>
      </c>
      <c r="F33" s="216"/>
    </row>
    <row r="34" spans="2:6" s="143" customFormat="1" x14ac:dyDescent="0.25">
      <c r="B34" s="145" t="s">
        <v>433</v>
      </c>
      <c r="C34" s="151">
        <v>60</v>
      </c>
      <c r="D34" s="174">
        <f t="shared" si="1"/>
        <v>1004</v>
      </c>
      <c r="E34" s="175">
        <f t="shared" si="0"/>
        <v>30.12</v>
      </c>
      <c r="F34" s="216"/>
    </row>
    <row r="35" spans="2:6" s="143" customFormat="1" x14ac:dyDescent="0.25">
      <c r="B35" s="145" t="s">
        <v>221</v>
      </c>
      <c r="C35" s="151">
        <v>-296</v>
      </c>
      <c r="D35" s="174">
        <f t="shared" si="1"/>
        <v>1092.270326517307</v>
      </c>
      <c r="E35" s="175">
        <f t="shared" si="0"/>
        <v>-161.65600832456144</v>
      </c>
      <c r="F35" s="216"/>
    </row>
    <row r="36" spans="2:6" s="143" customFormat="1" x14ac:dyDescent="0.25">
      <c r="B36" s="145" t="s">
        <v>223</v>
      </c>
      <c r="C36" s="151">
        <v>-63712</v>
      </c>
      <c r="D36" s="174">
        <f t="shared" si="1"/>
        <v>1092.270326517307</v>
      </c>
      <c r="E36" s="175">
        <f t="shared" si="0"/>
        <v>-34795.363521535328</v>
      </c>
      <c r="F36" s="216"/>
    </row>
    <row r="37" spans="2:6" s="143" customFormat="1" x14ac:dyDescent="0.25">
      <c r="B37" s="145" t="s">
        <v>190</v>
      </c>
      <c r="C37" s="151">
        <v>149950</v>
      </c>
      <c r="D37" s="174">
        <f t="shared" si="1"/>
        <v>1004</v>
      </c>
      <c r="E37" s="175">
        <f t="shared" si="0"/>
        <v>75274.899999999994</v>
      </c>
      <c r="F37" s="216"/>
    </row>
    <row r="38" spans="2:6" s="143" customFormat="1" x14ac:dyDescent="0.25">
      <c r="B38" s="145" t="s">
        <v>300</v>
      </c>
      <c r="C38" s="151">
        <v>70220.598999999987</v>
      </c>
      <c r="D38" s="214">
        <f t="shared" ref="D38:D42" si="2">IF(C38&gt;0,$I$2,0)</f>
        <v>1004</v>
      </c>
      <c r="E38" s="175">
        <f t="shared" si="0"/>
        <v>35250.740697999994</v>
      </c>
      <c r="F38" s="216"/>
    </row>
    <row r="39" spans="2:6" s="143" customFormat="1" x14ac:dyDescent="0.25">
      <c r="B39" s="145" t="s">
        <v>301</v>
      </c>
      <c r="C39" s="151">
        <v>214.42699999999999</v>
      </c>
      <c r="D39" s="214">
        <f t="shared" si="2"/>
        <v>1004</v>
      </c>
      <c r="E39" s="175">
        <f t="shared" si="0"/>
        <v>107.642354</v>
      </c>
      <c r="F39" s="216"/>
    </row>
    <row r="40" spans="2:6" s="143" customFormat="1" x14ac:dyDescent="0.25">
      <c r="B40" s="145" t="s">
        <v>378</v>
      </c>
      <c r="C40" s="151">
        <v>8211.0470000000023</v>
      </c>
      <c r="D40" s="214">
        <f t="shared" si="2"/>
        <v>1004</v>
      </c>
      <c r="E40" s="175">
        <f t="shared" si="0"/>
        <v>4121.9455940000007</v>
      </c>
      <c r="F40" s="216"/>
    </row>
    <row r="41" spans="2:6" s="143" customFormat="1" x14ac:dyDescent="0.25">
      <c r="B41" s="145" t="s">
        <v>304</v>
      </c>
      <c r="C41" s="151">
        <v>6813.1130000000003</v>
      </c>
      <c r="D41" s="214">
        <f t="shared" si="2"/>
        <v>1004</v>
      </c>
      <c r="E41" s="175">
        <f t="shared" si="0"/>
        <v>3420.1827260000005</v>
      </c>
      <c r="F41" s="216"/>
    </row>
    <row r="42" spans="2:6" s="143" customFormat="1" x14ac:dyDescent="0.25">
      <c r="B42" s="145" t="s">
        <v>305</v>
      </c>
      <c r="C42" s="151">
        <v>-40989.185000000005</v>
      </c>
      <c r="D42" s="214">
        <f t="shared" si="2"/>
        <v>0</v>
      </c>
      <c r="E42" s="175">
        <f t="shared" si="0"/>
        <v>0</v>
      </c>
      <c r="F42" s="216"/>
    </row>
    <row r="43" spans="2:6" s="143" customFormat="1" x14ac:dyDescent="0.25">
      <c r="B43" s="145" t="s">
        <v>226</v>
      </c>
      <c r="C43" s="151">
        <v>-4</v>
      </c>
      <c r="D43" s="174">
        <f t="shared" si="1"/>
        <v>1092.270326517307</v>
      </c>
      <c r="E43" s="175">
        <f t="shared" si="0"/>
        <v>-2.1845406530346141</v>
      </c>
      <c r="F43" s="216"/>
    </row>
    <row r="44" spans="2:6" s="143" customFormat="1" x14ac:dyDescent="0.25">
      <c r="B44" s="145" t="s">
        <v>375</v>
      </c>
      <c r="C44" s="151">
        <v>-202</v>
      </c>
      <c r="D44" s="174">
        <f t="shared" si="1"/>
        <v>1092.270326517307</v>
      </c>
      <c r="E44" s="175">
        <f t="shared" si="0"/>
        <v>-110.31930297824802</v>
      </c>
      <c r="F44" s="216"/>
    </row>
    <row r="45" spans="2:6" s="143" customFormat="1" x14ac:dyDescent="0.25">
      <c r="B45" s="145" t="s">
        <v>230</v>
      </c>
      <c r="C45" s="151">
        <v>731570</v>
      </c>
      <c r="D45" s="174">
        <f t="shared" si="1"/>
        <v>1004</v>
      </c>
      <c r="E45" s="175">
        <f t="shared" si="0"/>
        <v>367248.14</v>
      </c>
      <c r="F45" s="216"/>
    </row>
    <row r="46" spans="2:6" s="143" customFormat="1" x14ac:dyDescent="0.25">
      <c r="B46" s="145" t="s">
        <v>232</v>
      </c>
      <c r="C46" s="151">
        <v>-40797</v>
      </c>
      <c r="D46" s="174">
        <f t="shared" si="1"/>
        <v>1092.270326517307</v>
      </c>
      <c r="E46" s="175">
        <f t="shared" si="0"/>
        <v>-22280.676255463288</v>
      </c>
      <c r="F46" s="216"/>
    </row>
    <row r="47" spans="2:6" s="143" customFormat="1" x14ac:dyDescent="0.25">
      <c r="B47" s="145" t="s">
        <v>235</v>
      </c>
      <c r="C47" s="151">
        <v>30000</v>
      </c>
      <c r="D47" s="174">
        <f t="shared" si="1"/>
        <v>1004</v>
      </c>
      <c r="E47" s="175">
        <f t="shared" si="0"/>
        <v>15060</v>
      </c>
      <c r="F47" s="216"/>
    </row>
    <row r="48" spans="2:6" s="143" customFormat="1" x14ac:dyDescent="0.25">
      <c r="B48" s="145" t="s">
        <v>294</v>
      </c>
      <c r="C48" s="151">
        <v>2625.971</v>
      </c>
      <c r="D48" s="214">
        <f t="shared" ref="D48:D50" si="3">IF(C48&gt;0,$I$2,0)</f>
        <v>1004</v>
      </c>
      <c r="E48" s="175">
        <f t="shared" si="0"/>
        <v>1318.2374420000001</v>
      </c>
      <c r="F48" s="216"/>
    </row>
    <row r="49" spans="2:6" s="143" customFormat="1" x14ac:dyDescent="0.25">
      <c r="B49" s="145" t="s">
        <v>379</v>
      </c>
      <c r="C49" s="151">
        <v>110530.56299999999</v>
      </c>
      <c r="D49" s="174">
        <f t="shared" si="1"/>
        <v>1004</v>
      </c>
      <c r="E49" s="175">
        <f t="shared" si="0"/>
        <v>55486.342625999998</v>
      </c>
      <c r="F49" s="216"/>
    </row>
    <row r="50" spans="2:6" s="143" customFormat="1" x14ac:dyDescent="0.25">
      <c r="B50" s="145" t="s">
        <v>308</v>
      </c>
      <c r="C50" s="151">
        <v>-16758.375999999997</v>
      </c>
      <c r="D50" s="214">
        <f t="shared" si="3"/>
        <v>0</v>
      </c>
      <c r="E50" s="175">
        <f t="shared" si="0"/>
        <v>0</v>
      </c>
      <c r="F50" s="216"/>
    </row>
    <row r="51" spans="2:6" s="143" customFormat="1" x14ac:dyDescent="0.25">
      <c r="B51" s="145" t="s">
        <v>180</v>
      </c>
      <c r="C51" s="151">
        <v>513602</v>
      </c>
      <c r="D51" s="174">
        <f t="shared" si="1"/>
        <v>1004</v>
      </c>
      <c r="E51" s="175">
        <f t="shared" si="0"/>
        <v>257828.204</v>
      </c>
      <c r="F51" s="216"/>
    </row>
    <row r="52" spans="2:6" s="143" customFormat="1" x14ac:dyDescent="0.25">
      <c r="B52" s="145" t="s">
        <v>246</v>
      </c>
      <c r="C52" s="151">
        <v>-211</v>
      </c>
      <c r="D52" s="174">
        <f t="shared" si="1"/>
        <v>1092.270326517307</v>
      </c>
      <c r="E52" s="175">
        <f t="shared" si="0"/>
        <v>-115.23451944757589</v>
      </c>
      <c r="F52" s="216"/>
    </row>
    <row r="53" spans="2:6" s="143" customFormat="1" x14ac:dyDescent="0.25">
      <c r="B53" s="145" t="s">
        <v>291</v>
      </c>
      <c r="C53" s="151">
        <v>-16</v>
      </c>
      <c r="D53" s="174">
        <f t="shared" si="1"/>
        <v>1092.270326517307</v>
      </c>
      <c r="E53" s="175">
        <f t="shared" si="0"/>
        <v>-8.7381626121384564</v>
      </c>
      <c r="F53" s="216"/>
    </row>
    <row r="54" spans="2:6" s="143" customFormat="1" x14ac:dyDescent="0.25">
      <c r="B54" s="145" t="s">
        <v>248</v>
      </c>
      <c r="C54" s="151">
        <v>4000</v>
      </c>
      <c r="D54" s="174">
        <f t="shared" si="1"/>
        <v>1004</v>
      </c>
      <c r="E54" s="175">
        <f t="shared" si="0"/>
        <v>2008</v>
      </c>
      <c r="F54" s="216"/>
    </row>
    <row r="55" spans="2:6" s="143" customFormat="1" x14ac:dyDescent="0.25">
      <c r="B55" s="145" t="s">
        <v>252</v>
      </c>
      <c r="C55" s="151">
        <v>-15807</v>
      </c>
      <c r="D55" s="174">
        <f t="shared" si="1"/>
        <v>1092.270326517307</v>
      </c>
      <c r="E55" s="175">
        <f t="shared" si="0"/>
        <v>-8632.7585256295351</v>
      </c>
      <c r="F55" s="216"/>
    </row>
    <row r="56" spans="2:6" s="143" customFormat="1" x14ac:dyDescent="0.25">
      <c r="B56" s="145" t="s">
        <v>254</v>
      </c>
      <c r="C56" s="151">
        <v>26026</v>
      </c>
      <c r="D56" s="174">
        <f t="shared" si="1"/>
        <v>1004</v>
      </c>
      <c r="E56" s="175">
        <f t="shared" si="0"/>
        <v>13065.052</v>
      </c>
      <c r="F56" s="216"/>
    </row>
    <row r="57" spans="2:6" s="143" customFormat="1" x14ac:dyDescent="0.25">
      <c r="B57" s="145" t="s">
        <v>181</v>
      </c>
      <c r="C57" s="151">
        <v>0</v>
      </c>
      <c r="D57" s="174">
        <f t="shared" si="1"/>
        <v>1092.270326517307</v>
      </c>
      <c r="E57" s="175"/>
      <c r="F57" s="216"/>
    </row>
    <row r="58" spans="2:6" s="143" customFormat="1" x14ac:dyDescent="0.25">
      <c r="B58" s="145" t="s">
        <v>257</v>
      </c>
      <c r="C58" s="151">
        <v>-237749</v>
      </c>
      <c r="D58" s="174">
        <f t="shared" si="1"/>
        <v>1092.270326517307</v>
      </c>
      <c r="E58" s="175">
        <f t="shared" si="0"/>
        <v>-129843.08892958162</v>
      </c>
      <c r="F58" s="216"/>
    </row>
    <row r="59" spans="2:6" s="143" customFormat="1" x14ac:dyDescent="0.25">
      <c r="B59" s="145" t="s">
        <v>261</v>
      </c>
      <c r="C59" s="151">
        <v>-133050</v>
      </c>
      <c r="D59" s="174">
        <f t="shared" si="1"/>
        <v>1092.270326517307</v>
      </c>
      <c r="E59" s="175">
        <f t="shared" si="0"/>
        <v>-72663.283471563846</v>
      </c>
      <c r="F59" s="216"/>
    </row>
    <row r="60" spans="2:6" s="143" customFormat="1" x14ac:dyDescent="0.25">
      <c r="B60" s="145" t="s">
        <v>183</v>
      </c>
      <c r="C60" s="151">
        <v>-1371536</v>
      </c>
      <c r="D60" s="174">
        <f t="shared" si="1"/>
        <v>1092.270326517307</v>
      </c>
      <c r="E60" s="175">
        <f t="shared" si="0"/>
        <v>-749044.03727512062</v>
      </c>
      <c r="F60" s="216"/>
    </row>
    <row r="61" spans="2:6" s="143" customFormat="1" x14ac:dyDescent="0.25">
      <c r="B61" s="145" t="s">
        <v>263</v>
      </c>
      <c r="C61" s="151">
        <v>130513</v>
      </c>
      <c r="D61" s="174">
        <f t="shared" si="1"/>
        <v>1004</v>
      </c>
      <c r="E61" s="175">
        <f t="shared" si="0"/>
        <v>65517.525999999998</v>
      </c>
      <c r="F61" s="216"/>
    </row>
    <row r="62" spans="2:6" s="143" customFormat="1" x14ac:dyDescent="0.25">
      <c r="B62" s="145" t="s">
        <v>264</v>
      </c>
      <c r="C62" s="151">
        <v>-2638</v>
      </c>
      <c r="D62" s="174">
        <f t="shared" si="1"/>
        <v>1092.270326517307</v>
      </c>
      <c r="E62" s="175">
        <f t="shared" si="0"/>
        <v>-1440.7045606763279</v>
      </c>
      <c r="F62" s="216"/>
    </row>
    <row r="63" spans="2:6" s="143" customFormat="1" x14ac:dyDescent="0.25">
      <c r="B63" s="145" t="s">
        <v>266</v>
      </c>
      <c r="C63" s="151">
        <v>139</v>
      </c>
      <c r="D63" s="174">
        <f t="shared" si="1"/>
        <v>1004</v>
      </c>
      <c r="E63" s="175">
        <f t="shared" si="0"/>
        <v>69.778000000000006</v>
      </c>
      <c r="F63" s="216"/>
    </row>
    <row r="64" spans="2:6" s="143" customFormat="1" x14ac:dyDescent="0.25">
      <c r="B64" s="145" t="s">
        <v>184</v>
      </c>
      <c r="C64" s="151">
        <v>132196</v>
      </c>
      <c r="D64" s="174">
        <f t="shared" si="1"/>
        <v>1004</v>
      </c>
      <c r="E64" s="175">
        <f t="shared" si="0"/>
        <v>66362.392000000007</v>
      </c>
      <c r="F64" s="216"/>
    </row>
    <row r="65" spans="2:6" s="143" customFormat="1" x14ac:dyDescent="0.25">
      <c r="B65" s="145" t="s">
        <v>185</v>
      </c>
      <c r="C65" s="151">
        <v>-73192</v>
      </c>
      <c r="D65" s="174">
        <f t="shared" si="1"/>
        <v>1092.270326517307</v>
      </c>
      <c r="E65" s="175">
        <f t="shared" si="0"/>
        <v>-39972.724869227364</v>
      </c>
      <c r="F65" s="216"/>
    </row>
    <row r="66" spans="2:6" s="143" customFormat="1" x14ac:dyDescent="0.25">
      <c r="B66" s="145" t="s">
        <v>272</v>
      </c>
      <c r="C66" s="151">
        <v>12341</v>
      </c>
      <c r="D66" s="174">
        <f t="shared" si="1"/>
        <v>1004</v>
      </c>
      <c r="E66" s="175">
        <f t="shared" si="0"/>
        <v>6195.1819999999998</v>
      </c>
      <c r="F66" s="216"/>
    </row>
    <row r="67" spans="2:6" s="143" customFormat="1" x14ac:dyDescent="0.25">
      <c r="B67" s="145" t="s">
        <v>380</v>
      </c>
      <c r="C67" s="151">
        <v>1788.0920000000001</v>
      </c>
      <c r="D67" s="214">
        <f t="shared" ref="D67:D68" si="4">IF(C67&gt;0,$I$2,0)</f>
        <v>1004</v>
      </c>
      <c r="E67" s="175">
        <f t="shared" si="0"/>
        <v>897.62218400000006</v>
      </c>
      <c r="F67" s="216"/>
    </row>
    <row r="68" spans="2:6" s="143" customFormat="1" x14ac:dyDescent="0.25">
      <c r="B68" s="145" t="s">
        <v>309</v>
      </c>
      <c r="C68" s="151">
        <v>24528.660000000003</v>
      </c>
      <c r="D68" s="214">
        <f t="shared" si="4"/>
        <v>1004</v>
      </c>
      <c r="E68" s="175">
        <f t="shared" si="0"/>
        <v>12313.387320000002</v>
      </c>
      <c r="F68" s="216"/>
    </row>
    <row r="69" spans="2:6" s="143" customFormat="1" x14ac:dyDescent="0.25">
      <c r="B69" s="145" t="s">
        <v>186</v>
      </c>
      <c r="C69" s="151">
        <v>30313</v>
      </c>
      <c r="D69" s="174">
        <f t="shared" si="1"/>
        <v>1004</v>
      </c>
      <c r="E69" s="175">
        <f t="shared" si="0"/>
        <v>15217.126</v>
      </c>
      <c r="F69" s="216"/>
    </row>
    <row r="70" spans="2:6" s="143" customFormat="1" x14ac:dyDescent="0.25">
      <c r="B70" s="145" t="s">
        <v>276</v>
      </c>
      <c r="C70" s="151">
        <v>221765</v>
      </c>
      <c r="D70" s="174">
        <f t="shared" si="1"/>
        <v>1004</v>
      </c>
      <c r="E70" s="175">
        <f t="shared" ref="E70:E80" si="5">(+C70*D70)/2000</f>
        <v>111326.03</v>
      </c>
      <c r="F70" s="216"/>
    </row>
    <row r="71" spans="2:6" s="143" customFormat="1" x14ac:dyDescent="0.25">
      <c r="B71" s="145" t="s">
        <v>278</v>
      </c>
      <c r="C71" s="151">
        <v>-3000</v>
      </c>
      <c r="D71" s="174">
        <f t="shared" ref="D71:D80" si="6">IF(C71&gt;0,$I$2,$I$11)</f>
        <v>1092.270326517307</v>
      </c>
      <c r="E71" s="175">
        <f t="shared" si="5"/>
        <v>-1638.4054897759606</v>
      </c>
      <c r="F71" s="216"/>
    </row>
    <row r="72" spans="2:6" s="143" customFormat="1" x14ac:dyDescent="0.25">
      <c r="B72" s="145" t="s">
        <v>279</v>
      </c>
      <c r="C72" s="151">
        <v>788491</v>
      </c>
      <c r="D72" s="174">
        <f t="shared" si="6"/>
        <v>1004</v>
      </c>
      <c r="E72" s="175">
        <f t="shared" si="5"/>
        <v>395822.48200000002</v>
      </c>
      <c r="F72" s="216"/>
    </row>
    <row r="73" spans="2:6" s="143" customFormat="1" x14ac:dyDescent="0.25">
      <c r="B73" s="145" t="s">
        <v>188</v>
      </c>
      <c r="C73" s="151">
        <v>-271727</v>
      </c>
      <c r="D73" s="174">
        <f t="shared" si="6"/>
        <v>1092.270326517307</v>
      </c>
      <c r="E73" s="175">
        <f t="shared" si="5"/>
        <v>-148399.66950678415</v>
      </c>
      <c r="F73" s="216"/>
    </row>
    <row r="74" spans="2:6" s="143" customFormat="1" x14ac:dyDescent="0.25">
      <c r="B74" s="145" t="s">
        <v>281</v>
      </c>
      <c r="C74" s="151">
        <v>-46100</v>
      </c>
      <c r="D74" s="174">
        <f t="shared" si="6"/>
        <v>1092.270326517307</v>
      </c>
      <c r="E74" s="175">
        <f t="shared" si="5"/>
        <v>-25176.831026223928</v>
      </c>
      <c r="F74" s="216"/>
    </row>
    <row r="75" spans="2:6" s="143" customFormat="1" x14ac:dyDescent="0.25">
      <c r="B75" s="145" t="s">
        <v>284</v>
      </c>
      <c r="C75" s="151">
        <v>8325</v>
      </c>
      <c r="D75" s="174">
        <f t="shared" si="6"/>
        <v>1004</v>
      </c>
      <c r="E75" s="175">
        <f t="shared" si="5"/>
        <v>4179.1499999999996</v>
      </c>
      <c r="F75" s="216"/>
    </row>
    <row r="76" spans="2:6" s="143" customFormat="1" x14ac:dyDescent="0.25">
      <c r="B76" s="145" t="s">
        <v>297</v>
      </c>
      <c r="C76" s="151">
        <v>68798.140999999989</v>
      </c>
      <c r="D76" s="214">
        <f t="shared" ref="D76:D79" si="7">IF(C76&gt;0,$I$2,0)</f>
        <v>1004</v>
      </c>
      <c r="E76" s="175">
        <f t="shared" si="5"/>
        <v>34536.666782</v>
      </c>
      <c r="F76" s="216"/>
    </row>
    <row r="77" spans="2:6" s="143" customFormat="1" x14ac:dyDescent="0.25">
      <c r="B77" s="145" t="s">
        <v>286</v>
      </c>
      <c r="C77" s="151">
        <v>226338</v>
      </c>
      <c r="D77" s="174">
        <f t="shared" si="6"/>
        <v>1004</v>
      </c>
      <c r="E77" s="175">
        <f t="shared" si="5"/>
        <v>113621.67600000001</v>
      </c>
      <c r="F77" s="216"/>
    </row>
    <row r="78" spans="2:6" s="143" customFormat="1" x14ac:dyDescent="0.25">
      <c r="B78" s="145" t="s">
        <v>310</v>
      </c>
      <c r="C78" s="151">
        <v>13715.259000000002</v>
      </c>
      <c r="D78" s="214">
        <f t="shared" si="7"/>
        <v>1004</v>
      </c>
      <c r="E78" s="175">
        <f t="shared" si="5"/>
        <v>6885.060018000001</v>
      </c>
      <c r="F78" s="216"/>
    </row>
    <row r="79" spans="2:6" s="143" customFormat="1" x14ac:dyDescent="0.25">
      <c r="B79" s="145" t="s">
        <v>311</v>
      </c>
      <c r="C79" s="151">
        <v>-6494.7579999999944</v>
      </c>
      <c r="D79" s="214">
        <f t="shared" si="7"/>
        <v>0</v>
      </c>
      <c r="E79" s="175">
        <f t="shared" si="5"/>
        <v>0</v>
      </c>
      <c r="F79" s="216"/>
    </row>
    <row r="80" spans="2:6" s="143" customFormat="1" x14ac:dyDescent="0.25">
      <c r="B80" s="145" t="s">
        <v>289</v>
      </c>
      <c r="C80" s="151">
        <v>-3928</v>
      </c>
      <c r="D80" s="174">
        <f t="shared" si="6"/>
        <v>1092.270326517307</v>
      </c>
      <c r="E80" s="175">
        <f t="shared" si="5"/>
        <v>-2145.2189212799913</v>
      </c>
    </row>
    <row r="81" spans="2:5" s="143" customFormat="1" ht="21" customHeight="1" x14ac:dyDescent="0.25">
      <c r="B81" s="170" t="s">
        <v>458</v>
      </c>
      <c r="C81" s="172">
        <f>SUM(C6:C80)</f>
        <v>2534322.9179999991</v>
      </c>
      <c r="D81" s="173"/>
      <c r="E81" s="172">
        <f>SUM(E6:E80)</f>
        <v>1188668.7804200475</v>
      </c>
    </row>
    <row r="82" spans="2:5" s="143" customFormat="1" x14ac:dyDescent="0.25"/>
    <row r="83" spans="2:5" s="143" customFormat="1" x14ac:dyDescent="0.25"/>
    <row r="84" spans="2:5" s="143" customFormat="1" x14ac:dyDescent="0.25"/>
    <row r="85" spans="2:5" s="143" customFormat="1" x14ac:dyDescent="0.25"/>
    <row r="86" spans="2:5" s="143" customFormat="1" x14ac:dyDescent="0.25"/>
    <row r="87" spans="2:5" s="143" customFormat="1" x14ac:dyDescent="0.25"/>
    <row r="88" spans="2:5" s="143" customFormat="1" x14ac:dyDescent="0.25"/>
    <row r="89" spans="2:5" s="143" customFormat="1" x14ac:dyDescent="0.25"/>
    <row r="90" spans="2:5" s="143" customFormat="1" x14ac:dyDescent="0.25"/>
    <row r="91" spans="2:5" s="143" customFormat="1" x14ac:dyDescent="0.25"/>
    <row r="92" spans="2:5" s="143" customFormat="1" x14ac:dyDescent="0.25"/>
    <row r="93" spans="2:5" s="143" customFormat="1" x14ac:dyDescent="0.25"/>
    <row r="94" spans="2:5" s="143" customFormat="1" x14ac:dyDescent="0.25"/>
    <row r="95" spans="2:5" s="143" customFormat="1" x14ac:dyDescent="0.25"/>
    <row r="96" spans="2:5" s="143" customFormat="1" x14ac:dyDescent="0.25"/>
    <row r="97" s="143" customFormat="1" x14ac:dyDescent="0.25"/>
    <row r="98" s="143" customFormat="1" x14ac:dyDescent="0.25"/>
    <row r="99" s="143" customFormat="1" x14ac:dyDescent="0.25"/>
    <row r="100" s="143" customFormat="1" x14ac:dyDescent="0.25"/>
    <row r="101" s="143" customFormat="1" x14ac:dyDescent="0.25"/>
    <row r="102" s="143" customFormat="1" x14ac:dyDescent="0.25"/>
    <row r="103" s="143" customFormat="1" x14ac:dyDescent="0.25"/>
    <row r="104" s="143" customFormat="1" x14ac:dyDescent="0.25"/>
    <row r="105" s="143" customFormat="1" x14ac:dyDescent="0.25"/>
    <row r="106" s="143" customFormat="1" x14ac:dyDescent="0.25"/>
    <row r="107" s="143" customFormat="1" x14ac:dyDescent="0.25"/>
    <row r="108" s="143" customFormat="1" x14ac:dyDescent="0.25"/>
    <row r="109" s="143" customFormat="1" x14ac:dyDescent="0.25"/>
    <row r="110" s="143" customFormat="1" x14ac:dyDescent="0.25"/>
    <row r="111" s="143" customFormat="1" x14ac:dyDescent="0.25"/>
    <row r="112" s="143" customFormat="1" x14ac:dyDescent="0.25"/>
    <row r="113" s="143" customFormat="1" x14ac:dyDescent="0.25"/>
    <row r="114" s="143" customFormat="1" x14ac:dyDescent="0.25"/>
    <row r="115" s="143" customFormat="1" x14ac:dyDescent="0.25"/>
    <row r="116" s="143" customFormat="1" x14ac:dyDescent="0.25"/>
    <row r="117" s="143" customFormat="1" x14ac:dyDescent="0.25"/>
    <row r="118" s="143" customFormat="1" x14ac:dyDescent="0.25"/>
    <row r="119" s="143" customFormat="1" x14ac:dyDescent="0.25"/>
    <row r="120" s="143" customFormat="1" x14ac:dyDescent="0.25"/>
    <row r="121" s="143" customFormat="1" x14ac:dyDescent="0.25"/>
    <row r="122" s="143" customFormat="1" x14ac:dyDescent="0.25"/>
    <row r="123" s="143" customFormat="1" x14ac:dyDescent="0.25"/>
    <row r="124" s="143" customFormat="1" x14ac:dyDescent="0.25"/>
    <row r="125" s="143" customFormat="1" x14ac:dyDescent="0.25"/>
    <row r="126" s="143" customFormat="1" x14ac:dyDescent="0.25"/>
    <row r="127" s="143" customFormat="1" x14ac:dyDescent="0.25"/>
    <row r="128" s="143" customFormat="1" x14ac:dyDescent="0.25"/>
    <row r="129" s="143" customFormat="1" x14ac:dyDescent="0.25"/>
    <row r="130" s="143" customFormat="1" x14ac:dyDescent="0.25"/>
    <row r="131" s="143" customFormat="1" x14ac:dyDescent="0.25"/>
    <row r="132" s="143" customFormat="1" x14ac:dyDescent="0.25"/>
    <row r="133" s="143" customFormat="1" x14ac:dyDescent="0.25"/>
    <row r="134" s="143" customFormat="1" x14ac:dyDescent="0.25"/>
    <row r="135" s="143" customFormat="1" x14ac:dyDescent="0.25"/>
    <row r="136" s="143" customFormat="1" x14ac:dyDescent="0.25"/>
    <row r="137" s="143" customFormat="1" x14ac:dyDescent="0.25"/>
    <row r="138" s="143" customFormat="1" x14ac:dyDescent="0.25"/>
    <row r="139" s="143" customFormat="1" x14ac:dyDescent="0.25"/>
    <row r="140" s="143" customFormat="1" x14ac:dyDescent="0.25"/>
    <row r="141" s="143" customFormat="1" x14ac:dyDescent="0.25"/>
    <row r="142" s="143" customFormat="1" x14ac:dyDescent="0.25"/>
    <row r="143" s="143" customFormat="1" x14ac:dyDescent="0.25"/>
    <row r="144" s="143" customFormat="1" x14ac:dyDescent="0.25"/>
    <row r="145" s="143" customFormat="1" x14ac:dyDescent="0.25"/>
    <row r="146" s="143" customFormat="1" x14ac:dyDescent="0.25"/>
    <row r="147" s="143" customFormat="1" x14ac:dyDescent="0.25"/>
    <row r="148" s="143" customFormat="1" x14ac:dyDescent="0.25"/>
    <row r="149" s="143" customFormat="1" x14ac:dyDescent="0.25"/>
    <row r="150" s="143" customFormat="1" x14ac:dyDescent="0.25"/>
    <row r="151" s="143" customFormat="1" x14ac:dyDescent="0.25"/>
    <row r="152" s="143" customFormat="1" x14ac:dyDescent="0.25"/>
    <row r="153" s="143" customFormat="1" x14ac:dyDescent="0.25"/>
    <row r="154" s="143" customFormat="1" x14ac:dyDescent="0.25"/>
    <row r="155" s="143" customFormat="1" x14ac:dyDescent="0.25"/>
    <row r="156" s="143" customFormat="1" x14ac:dyDescent="0.25"/>
    <row r="157" s="143" customFormat="1" x14ac:dyDescent="0.25"/>
    <row r="158" s="143" customFormat="1" x14ac:dyDescent="0.25"/>
    <row r="159" s="143" customFormat="1" x14ac:dyDescent="0.25"/>
    <row r="160" s="143" customFormat="1" x14ac:dyDescent="0.25"/>
    <row r="161" s="143" customFormat="1" x14ac:dyDescent="0.25"/>
    <row r="162" s="143" customFormat="1" x14ac:dyDescent="0.25"/>
  </sheetData>
  <mergeCells count="5">
    <mergeCell ref="C3:C4"/>
    <mergeCell ref="E3:E4"/>
    <mergeCell ref="D3:D4"/>
    <mergeCell ref="B3:B4"/>
    <mergeCell ref="B5:E5"/>
  </mergeCells>
  <hyperlinks>
    <hyperlink ref="G2" r:id="rId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21"/>
  <sheetViews>
    <sheetView topLeftCell="C13" workbookViewId="0">
      <selection activeCell="M38" sqref="M38:N39"/>
    </sheetView>
  </sheetViews>
  <sheetFormatPr defaultColWidth="8.85546875" defaultRowHeight="12.75" x14ac:dyDescent="0.2"/>
  <cols>
    <col min="1" max="1" width="8.85546875" style="109"/>
    <col min="2" max="2" width="50.7109375" style="109" customWidth="1"/>
    <col min="3" max="3" width="9.140625" style="109" customWidth="1"/>
    <col min="4" max="4" width="20" style="109" customWidth="1"/>
    <col min="5" max="8" width="9.140625" style="109" customWidth="1"/>
    <col min="9" max="10" width="9.140625" style="110" customWidth="1"/>
    <col min="11" max="11" width="8.85546875" style="109"/>
    <col min="12" max="13" width="11.140625" style="109" bestFit="1" customWidth="1"/>
    <col min="14" max="16384" width="8.85546875" style="109"/>
  </cols>
  <sheetData>
    <row r="2" spans="2:12" s="111" customFormat="1" x14ac:dyDescent="0.2">
      <c r="B2" s="111" t="s">
        <v>42</v>
      </c>
      <c r="C2" s="111" t="s">
        <v>49</v>
      </c>
      <c r="D2" s="111" t="s">
        <v>48</v>
      </c>
      <c r="E2" s="111" t="s">
        <v>47</v>
      </c>
      <c r="F2" s="111" t="s">
        <v>45</v>
      </c>
      <c r="G2" s="111" t="s">
        <v>44</v>
      </c>
      <c r="H2" s="111" t="s">
        <v>43</v>
      </c>
      <c r="I2" s="112" t="s">
        <v>51</v>
      </c>
      <c r="J2" s="112" t="s">
        <v>50</v>
      </c>
      <c r="L2" s="111" t="s">
        <v>385</v>
      </c>
    </row>
    <row r="3" spans="2:12" x14ac:dyDescent="0.2">
      <c r="B3" s="113" t="s">
        <v>53</v>
      </c>
      <c r="C3" s="114"/>
      <c r="D3" s="114"/>
      <c r="E3" s="114"/>
      <c r="F3" s="114"/>
      <c r="G3" s="114"/>
      <c r="H3" s="114"/>
      <c r="I3" s="115"/>
      <c r="J3" s="115"/>
    </row>
    <row r="4" spans="2:12" x14ac:dyDescent="0.2">
      <c r="B4" s="109" t="s">
        <v>386</v>
      </c>
      <c r="C4" s="114">
        <v>123681</v>
      </c>
      <c r="D4" s="114">
        <v>861312</v>
      </c>
      <c r="E4" s="114">
        <v>82636</v>
      </c>
      <c r="F4" s="114">
        <v>2149970</v>
      </c>
      <c r="G4" s="114">
        <v>264811</v>
      </c>
      <c r="H4" s="114">
        <v>44866</v>
      </c>
      <c r="I4" s="115">
        <v>275222</v>
      </c>
      <c r="J4" s="115">
        <v>216800</v>
      </c>
    </row>
    <row r="5" spans="2:12" x14ac:dyDescent="0.2">
      <c r="B5" s="109" t="s">
        <v>54</v>
      </c>
      <c r="C5" s="114">
        <v>121846</v>
      </c>
      <c r="D5" s="114">
        <v>843954</v>
      </c>
      <c r="E5" s="114">
        <v>80593</v>
      </c>
      <c r="F5" s="114">
        <v>2117125</v>
      </c>
      <c r="G5" s="114">
        <v>260131</v>
      </c>
      <c r="H5" s="114">
        <v>43269</v>
      </c>
      <c r="I5" s="115">
        <v>269536</v>
      </c>
      <c r="J5" s="115">
        <v>212284</v>
      </c>
    </row>
    <row r="6" spans="2:12" x14ac:dyDescent="0.2">
      <c r="B6" s="109" t="s">
        <v>387</v>
      </c>
      <c r="C6" s="114">
        <v>116901</v>
      </c>
      <c r="D6" s="114">
        <v>795219</v>
      </c>
      <c r="E6" s="114">
        <v>78506</v>
      </c>
      <c r="F6" s="114">
        <v>1931281</v>
      </c>
      <c r="G6" s="114">
        <v>251137</v>
      </c>
      <c r="H6" s="114">
        <v>40906</v>
      </c>
      <c r="I6" s="115">
        <v>252258</v>
      </c>
      <c r="J6" s="115">
        <v>201140</v>
      </c>
    </row>
    <row r="7" spans="2:12" x14ac:dyDescent="0.2">
      <c r="B7" s="109" t="s">
        <v>56</v>
      </c>
      <c r="C7" s="114">
        <v>116901</v>
      </c>
      <c r="D7" s="114">
        <v>795229</v>
      </c>
      <c r="E7" s="114">
        <v>78506</v>
      </c>
      <c r="F7" s="114">
        <v>1931256</v>
      </c>
      <c r="G7" s="114">
        <v>251133</v>
      </c>
      <c r="H7" s="114">
        <v>40909</v>
      </c>
      <c r="I7" s="115">
        <v>252264</v>
      </c>
      <c r="J7" s="115">
        <v>201140</v>
      </c>
    </row>
    <row r="8" spans="2:12" x14ac:dyDescent="0.2">
      <c r="B8" s="109" t="s">
        <v>388</v>
      </c>
      <c r="C8" s="116">
        <v>5.8</v>
      </c>
      <c r="D8" s="116">
        <v>8.3000000000000007</v>
      </c>
      <c r="E8" s="116">
        <v>5.3</v>
      </c>
      <c r="F8" s="116">
        <v>11.3</v>
      </c>
      <c r="G8" s="116">
        <v>5.4</v>
      </c>
      <c r="H8" s="116">
        <v>9.6999999999999993</v>
      </c>
      <c r="I8" s="117">
        <v>9.1</v>
      </c>
      <c r="J8" s="117">
        <v>7.8</v>
      </c>
    </row>
    <row r="9" spans="2:12" x14ac:dyDescent="0.2">
      <c r="B9" s="109" t="s">
        <v>58</v>
      </c>
      <c r="C9" s="116">
        <v>4.2</v>
      </c>
      <c r="D9" s="116">
        <v>6.1</v>
      </c>
      <c r="E9" s="116">
        <v>2.7</v>
      </c>
      <c r="F9" s="116">
        <v>9.6</v>
      </c>
      <c r="G9" s="116">
        <v>3.6</v>
      </c>
      <c r="H9" s="116">
        <v>5.8</v>
      </c>
      <c r="I9" s="117">
        <v>6.8</v>
      </c>
      <c r="J9" s="117">
        <v>5.5</v>
      </c>
    </row>
    <row r="10" spans="2:12" x14ac:dyDescent="0.2">
      <c r="B10" s="109" t="s">
        <v>60</v>
      </c>
      <c r="C10" s="114">
        <v>116901</v>
      </c>
      <c r="D10" s="114">
        <v>795225</v>
      </c>
      <c r="E10" s="114">
        <v>78506</v>
      </c>
      <c r="F10" s="114">
        <v>1931249</v>
      </c>
      <c r="G10" s="114">
        <v>251133</v>
      </c>
      <c r="H10" s="114">
        <v>40915</v>
      </c>
      <c r="I10" s="115">
        <v>252264</v>
      </c>
      <c r="J10" s="115">
        <v>201140</v>
      </c>
    </row>
    <row r="11" spans="2:12" x14ac:dyDescent="0.2">
      <c r="B11" s="113" t="s">
        <v>61</v>
      </c>
      <c r="C11" s="114"/>
      <c r="D11" s="114"/>
      <c r="E11" s="114"/>
      <c r="F11" s="114"/>
      <c r="G11" s="114"/>
      <c r="H11" s="114"/>
      <c r="I11" s="115"/>
      <c r="J11" s="115"/>
    </row>
    <row r="12" spans="2:12" x14ac:dyDescent="0.2">
      <c r="B12" s="109" t="s">
        <v>389</v>
      </c>
      <c r="C12" s="116">
        <v>6.1</v>
      </c>
      <c r="D12" s="116">
        <v>6.8</v>
      </c>
      <c r="E12" s="116">
        <v>5.5</v>
      </c>
      <c r="F12" s="116">
        <v>6.1</v>
      </c>
      <c r="G12" s="116">
        <v>5.7</v>
      </c>
      <c r="H12" s="116">
        <v>4.8</v>
      </c>
      <c r="I12" s="117">
        <v>5.9</v>
      </c>
      <c r="J12" s="117">
        <v>5.5</v>
      </c>
    </row>
    <row r="13" spans="2:12" x14ac:dyDescent="0.2">
      <c r="B13" s="109" t="s">
        <v>63</v>
      </c>
      <c r="C13" s="116">
        <v>6.5</v>
      </c>
      <c r="D13" s="116">
        <v>7</v>
      </c>
      <c r="E13" s="116">
        <v>5.8</v>
      </c>
      <c r="F13" s="116">
        <v>6.2</v>
      </c>
      <c r="G13" s="116">
        <v>5.9</v>
      </c>
      <c r="H13" s="116">
        <v>5</v>
      </c>
      <c r="I13" s="117">
        <v>6.1</v>
      </c>
      <c r="J13" s="117">
        <v>5.6</v>
      </c>
    </row>
    <row r="14" spans="2:12" x14ac:dyDescent="0.2">
      <c r="B14" s="109" t="s">
        <v>390</v>
      </c>
      <c r="C14" s="116">
        <v>22.3</v>
      </c>
      <c r="D14" s="116">
        <v>23.8</v>
      </c>
      <c r="E14" s="116">
        <v>18.600000000000001</v>
      </c>
      <c r="F14" s="116">
        <v>20.7</v>
      </c>
      <c r="G14" s="116">
        <v>20.7</v>
      </c>
      <c r="H14" s="116">
        <v>17.8</v>
      </c>
      <c r="I14" s="117">
        <v>21.8</v>
      </c>
      <c r="J14" s="117">
        <v>19.8</v>
      </c>
    </row>
    <row r="15" spans="2:12" x14ac:dyDescent="0.2">
      <c r="B15" s="109" t="s">
        <v>65</v>
      </c>
      <c r="C15" s="116">
        <v>23.7</v>
      </c>
      <c r="D15" s="116">
        <v>24.9</v>
      </c>
      <c r="E15" s="116">
        <v>20.8</v>
      </c>
      <c r="F15" s="116">
        <v>21.4</v>
      </c>
      <c r="G15" s="116">
        <v>22.5</v>
      </c>
      <c r="H15" s="116">
        <v>18.3</v>
      </c>
      <c r="I15" s="117">
        <v>23</v>
      </c>
      <c r="J15" s="117">
        <v>21</v>
      </c>
    </row>
    <row r="16" spans="2:12" x14ac:dyDescent="0.2">
      <c r="B16" s="109" t="s">
        <v>391</v>
      </c>
      <c r="C16" s="116">
        <v>19.3</v>
      </c>
      <c r="D16" s="116">
        <v>13.1</v>
      </c>
      <c r="E16" s="116">
        <v>23.2</v>
      </c>
      <c r="F16" s="116">
        <v>12.4</v>
      </c>
      <c r="G16" s="116">
        <v>16.5</v>
      </c>
      <c r="H16" s="116">
        <v>15.1</v>
      </c>
      <c r="I16" s="117">
        <v>15.9</v>
      </c>
      <c r="J16" s="117">
        <v>16</v>
      </c>
    </row>
    <row r="17" spans="2:10" x14ac:dyDescent="0.2">
      <c r="B17" s="109" t="s">
        <v>67</v>
      </c>
      <c r="C17" s="116">
        <v>16.100000000000001</v>
      </c>
      <c r="D17" s="116">
        <v>11</v>
      </c>
      <c r="E17" s="116">
        <v>18.399999999999999</v>
      </c>
      <c r="F17" s="116">
        <v>10.9</v>
      </c>
      <c r="G17" s="116">
        <v>13.3</v>
      </c>
      <c r="H17" s="116">
        <v>12.7</v>
      </c>
      <c r="I17" s="117">
        <v>13</v>
      </c>
      <c r="J17" s="117">
        <v>13.2</v>
      </c>
    </row>
    <row r="18" spans="2:10" x14ac:dyDescent="0.2">
      <c r="B18" s="109" t="s">
        <v>392</v>
      </c>
      <c r="C18" s="116">
        <v>50.4</v>
      </c>
      <c r="D18" s="116">
        <v>50.2</v>
      </c>
      <c r="E18" s="116">
        <v>50</v>
      </c>
      <c r="F18" s="116">
        <v>50</v>
      </c>
      <c r="G18" s="116">
        <v>49</v>
      </c>
      <c r="H18" s="116">
        <v>49.7</v>
      </c>
      <c r="I18" s="117">
        <v>50.9</v>
      </c>
      <c r="J18" s="117">
        <v>50.4</v>
      </c>
    </row>
    <row r="19" spans="2:10" x14ac:dyDescent="0.2">
      <c r="B19" s="109" t="s">
        <v>69</v>
      </c>
      <c r="C19" s="116">
        <v>50.4</v>
      </c>
      <c r="D19" s="116">
        <v>50.6</v>
      </c>
      <c r="E19" s="116">
        <v>50.5</v>
      </c>
      <c r="F19" s="116">
        <v>50.2</v>
      </c>
      <c r="G19" s="116">
        <v>49.4</v>
      </c>
      <c r="H19" s="116">
        <v>49.2</v>
      </c>
      <c r="I19" s="117">
        <v>51.3</v>
      </c>
      <c r="J19" s="117">
        <v>50.5</v>
      </c>
    </row>
    <row r="20" spans="2:10" x14ac:dyDescent="0.2">
      <c r="B20" s="113" t="s">
        <v>70</v>
      </c>
      <c r="C20" s="114"/>
      <c r="D20" s="114"/>
      <c r="E20" s="114"/>
      <c r="F20" s="114"/>
      <c r="G20" s="114"/>
      <c r="H20" s="114"/>
      <c r="I20" s="115"/>
      <c r="J20" s="115"/>
    </row>
    <row r="21" spans="2:10" x14ac:dyDescent="0.2">
      <c r="B21" s="109" t="s">
        <v>393</v>
      </c>
      <c r="C21" s="116">
        <v>90.7</v>
      </c>
      <c r="D21" s="116">
        <v>75.8</v>
      </c>
      <c r="E21" s="116">
        <v>85.8</v>
      </c>
      <c r="F21" s="116">
        <v>69.5</v>
      </c>
      <c r="G21" s="116">
        <v>83</v>
      </c>
      <c r="H21" s="116">
        <v>91.8</v>
      </c>
      <c r="I21" s="117">
        <v>82.4</v>
      </c>
      <c r="J21" s="117">
        <v>87</v>
      </c>
    </row>
    <row r="22" spans="2:10" x14ac:dyDescent="0.2">
      <c r="B22" s="109" t="s">
        <v>72</v>
      </c>
      <c r="C22" s="116">
        <v>83.4</v>
      </c>
      <c r="D22" s="116">
        <v>74.2</v>
      </c>
      <c r="E22" s="116">
        <v>86.1</v>
      </c>
      <c r="F22" s="116">
        <v>68.7</v>
      </c>
      <c r="G22" s="116">
        <v>82.6</v>
      </c>
      <c r="H22" s="116">
        <v>89.3</v>
      </c>
      <c r="I22" s="117">
        <v>82.4</v>
      </c>
      <c r="J22" s="117">
        <v>85.4</v>
      </c>
    </row>
    <row r="23" spans="2:10" x14ac:dyDescent="0.2">
      <c r="B23" s="109" t="s">
        <v>394</v>
      </c>
      <c r="C23" s="116">
        <v>1</v>
      </c>
      <c r="D23" s="116">
        <v>7.4</v>
      </c>
      <c r="E23" s="116">
        <v>3.1</v>
      </c>
      <c r="F23" s="116">
        <v>6.8</v>
      </c>
      <c r="G23" s="116">
        <v>3</v>
      </c>
      <c r="H23" s="116">
        <v>1.2</v>
      </c>
      <c r="I23" s="117">
        <v>3.5</v>
      </c>
      <c r="J23" s="117">
        <v>1.2</v>
      </c>
    </row>
    <row r="24" spans="2:10" x14ac:dyDescent="0.2">
      <c r="B24" s="109" t="s">
        <v>74</v>
      </c>
      <c r="C24" s="116">
        <v>0.7</v>
      </c>
      <c r="D24" s="116">
        <v>6.8</v>
      </c>
      <c r="E24" s="116">
        <v>2.2000000000000002</v>
      </c>
      <c r="F24" s="116">
        <v>6.2</v>
      </c>
      <c r="G24" s="116">
        <v>2.6</v>
      </c>
      <c r="H24" s="116">
        <v>0.9</v>
      </c>
      <c r="I24" s="117">
        <v>2.7</v>
      </c>
      <c r="J24" s="117">
        <v>1</v>
      </c>
    </row>
    <row r="25" spans="2:10" x14ac:dyDescent="0.2">
      <c r="B25" s="109" t="s">
        <v>395</v>
      </c>
      <c r="C25" s="116">
        <v>2.8</v>
      </c>
      <c r="D25" s="116">
        <v>1.7</v>
      </c>
      <c r="E25" s="116">
        <v>1.1000000000000001</v>
      </c>
      <c r="F25" s="116">
        <v>1.1000000000000001</v>
      </c>
      <c r="G25" s="116">
        <v>1.8</v>
      </c>
      <c r="H25" s="116">
        <v>1.2</v>
      </c>
      <c r="I25" s="117">
        <v>1.7</v>
      </c>
      <c r="J25" s="117">
        <v>3.2</v>
      </c>
    </row>
    <row r="26" spans="2:10" x14ac:dyDescent="0.2">
      <c r="B26" s="109" t="s">
        <v>76</v>
      </c>
      <c r="C26" s="116">
        <v>2.2000000000000002</v>
      </c>
      <c r="D26" s="116">
        <v>1.4</v>
      </c>
      <c r="E26" s="116">
        <v>0.8</v>
      </c>
      <c r="F26" s="116">
        <v>0.8</v>
      </c>
      <c r="G26" s="116">
        <v>1.6</v>
      </c>
      <c r="H26" s="116">
        <v>1</v>
      </c>
      <c r="I26" s="117">
        <v>1.4</v>
      </c>
      <c r="J26" s="117">
        <v>2.8</v>
      </c>
    </row>
    <row r="27" spans="2:10" x14ac:dyDescent="0.2">
      <c r="B27" s="109" t="s">
        <v>396</v>
      </c>
      <c r="C27" s="116">
        <v>2.2999999999999998</v>
      </c>
      <c r="D27" s="116">
        <v>6.7</v>
      </c>
      <c r="E27" s="116">
        <v>4.9000000000000004</v>
      </c>
      <c r="F27" s="116">
        <v>16.899999999999999</v>
      </c>
      <c r="G27" s="116">
        <v>5.4</v>
      </c>
      <c r="H27" s="116">
        <v>2.4</v>
      </c>
      <c r="I27" s="117">
        <v>6</v>
      </c>
      <c r="J27" s="117">
        <v>4.4000000000000004</v>
      </c>
    </row>
    <row r="28" spans="2:10" x14ac:dyDescent="0.2">
      <c r="B28" s="109" t="s">
        <v>78</v>
      </c>
      <c r="C28" s="116">
        <v>1.8</v>
      </c>
      <c r="D28" s="116">
        <v>6</v>
      </c>
      <c r="E28" s="116">
        <v>4.4000000000000004</v>
      </c>
      <c r="F28" s="116">
        <v>14.6</v>
      </c>
      <c r="G28" s="116">
        <v>4.9000000000000004</v>
      </c>
      <c r="H28" s="116">
        <v>2</v>
      </c>
      <c r="I28" s="117">
        <v>5.2</v>
      </c>
      <c r="J28" s="117">
        <v>3.5</v>
      </c>
    </row>
    <row r="29" spans="2:10" x14ac:dyDescent="0.2">
      <c r="B29" s="109" t="s">
        <v>397</v>
      </c>
      <c r="C29" s="116">
        <v>0.3</v>
      </c>
      <c r="D29" s="116">
        <v>1.6</v>
      </c>
      <c r="E29" s="116">
        <v>0.5</v>
      </c>
      <c r="F29" s="116">
        <v>0.9</v>
      </c>
      <c r="G29" s="116">
        <v>1</v>
      </c>
      <c r="H29" s="116">
        <v>0.2</v>
      </c>
      <c r="I29" s="117">
        <v>1.1000000000000001</v>
      </c>
      <c r="J29" s="117">
        <v>0.3</v>
      </c>
    </row>
    <row r="30" spans="2:10" x14ac:dyDescent="0.2">
      <c r="B30" s="109" t="s">
        <v>80</v>
      </c>
      <c r="C30" s="116">
        <v>0.2</v>
      </c>
      <c r="D30" s="116">
        <v>1.3</v>
      </c>
      <c r="E30" s="116">
        <v>0.5</v>
      </c>
      <c r="F30" s="116">
        <v>0.8</v>
      </c>
      <c r="G30" s="116">
        <v>0.9</v>
      </c>
      <c r="H30" s="116">
        <v>0.1</v>
      </c>
      <c r="I30" s="117">
        <v>0.8</v>
      </c>
      <c r="J30" s="117">
        <v>0.2</v>
      </c>
    </row>
    <row r="31" spans="2:10" x14ac:dyDescent="0.2">
      <c r="B31" s="109" t="s">
        <v>398</v>
      </c>
      <c r="C31" s="116">
        <v>3</v>
      </c>
      <c r="D31" s="116">
        <v>6.8</v>
      </c>
      <c r="E31" s="116">
        <v>4.5999999999999996</v>
      </c>
      <c r="F31" s="116">
        <v>5</v>
      </c>
      <c r="G31" s="116">
        <v>5.7</v>
      </c>
      <c r="H31" s="116">
        <v>3.2</v>
      </c>
      <c r="I31" s="117">
        <v>5.3</v>
      </c>
      <c r="J31" s="117">
        <v>3.8</v>
      </c>
    </row>
    <row r="32" spans="2:10" x14ac:dyDescent="0.2">
      <c r="B32" s="109" t="s">
        <v>82</v>
      </c>
      <c r="C32" s="116">
        <v>3.2</v>
      </c>
      <c r="D32" s="116">
        <v>6.8</v>
      </c>
      <c r="E32" s="116">
        <v>4.5</v>
      </c>
      <c r="F32" s="116">
        <v>5</v>
      </c>
      <c r="G32" s="116">
        <v>5.8</v>
      </c>
      <c r="H32" s="116">
        <v>3</v>
      </c>
      <c r="I32" s="117">
        <v>5.3</v>
      </c>
      <c r="J32" s="117">
        <v>3.8</v>
      </c>
    </row>
    <row r="33" spans="2:20" x14ac:dyDescent="0.2">
      <c r="B33" s="109" t="s">
        <v>399</v>
      </c>
      <c r="C33" s="116">
        <v>17.899999999999999</v>
      </c>
      <c r="D33" s="116">
        <v>10.5</v>
      </c>
      <c r="E33" s="116">
        <v>7.3</v>
      </c>
      <c r="F33" s="116">
        <v>9.5</v>
      </c>
      <c r="G33" s="116">
        <v>7.5</v>
      </c>
      <c r="H33" s="116">
        <v>8.9</v>
      </c>
      <c r="I33" s="117">
        <v>8.6</v>
      </c>
      <c r="J33" s="117">
        <v>9.1999999999999993</v>
      </c>
    </row>
    <row r="34" spans="2:20" x14ac:dyDescent="0.2">
      <c r="B34" s="109" t="s">
        <v>84</v>
      </c>
      <c r="C34" s="116">
        <v>16.899999999999999</v>
      </c>
      <c r="D34" s="116">
        <v>9.1999999999999993</v>
      </c>
      <c r="E34" s="116">
        <v>5.5</v>
      </c>
      <c r="F34" s="116">
        <v>8.9</v>
      </c>
      <c r="G34" s="116">
        <v>6.2</v>
      </c>
      <c r="H34" s="116">
        <v>7.6</v>
      </c>
      <c r="I34" s="117">
        <v>7.1</v>
      </c>
      <c r="J34" s="117">
        <v>7.8</v>
      </c>
    </row>
    <row r="35" spans="2:20" x14ac:dyDescent="0.2">
      <c r="B35" s="109" t="s">
        <v>400</v>
      </c>
      <c r="C35" s="116">
        <v>75.2</v>
      </c>
      <c r="D35" s="116">
        <v>67.8</v>
      </c>
      <c r="E35" s="116">
        <v>80</v>
      </c>
      <c r="F35" s="116">
        <v>61.7</v>
      </c>
      <c r="G35" s="116">
        <v>77.099999999999994</v>
      </c>
      <c r="H35" s="116">
        <v>84.1</v>
      </c>
      <c r="I35" s="117">
        <v>75.7</v>
      </c>
      <c r="J35" s="117">
        <v>79.5</v>
      </c>
    </row>
    <row r="36" spans="2:20" x14ac:dyDescent="0.2">
      <c r="B36" s="109" t="s">
        <v>86</v>
      </c>
      <c r="C36" s="116">
        <v>76.7</v>
      </c>
      <c r="D36" s="116">
        <v>70.3</v>
      </c>
      <c r="E36" s="116">
        <v>83.1</v>
      </c>
      <c r="F36" s="116">
        <v>64.8</v>
      </c>
      <c r="G36" s="116">
        <v>79.099999999999994</v>
      </c>
      <c r="H36" s="116">
        <v>86.1</v>
      </c>
      <c r="I36" s="117">
        <v>78.900000000000006</v>
      </c>
      <c r="J36" s="117">
        <v>81.900000000000006</v>
      </c>
    </row>
    <row r="37" spans="2:20" x14ac:dyDescent="0.2">
      <c r="B37" s="113" t="s">
        <v>87</v>
      </c>
      <c r="C37" s="114"/>
      <c r="D37" s="114"/>
      <c r="E37" s="114"/>
      <c r="F37" s="114"/>
      <c r="G37" s="114"/>
      <c r="H37" s="114"/>
      <c r="I37" s="115"/>
      <c r="J37" s="115"/>
    </row>
    <row r="38" spans="2:20" x14ac:dyDescent="0.2">
      <c r="B38" s="109" t="s">
        <v>401</v>
      </c>
      <c r="C38" s="114">
        <v>10736</v>
      </c>
      <c r="D38" s="114">
        <v>88396</v>
      </c>
      <c r="E38" s="114">
        <v>12612</v>
      </c>
      <c r="F38" s="114">
        <v>115239</v>
      </c>
      <c r="G38" s="114">
        <v>34009</v>
      </c>
      <c r="H38" s="114">
        <v>3619</v>
      </c>
      <c r="I38" s="115">
        <v>29109</v>
      </c>
      <c r="J38" s="115">
        <v>13846</v>
      </c>
      <c r="L38" s="118"/>
      <c r="M38" s="119" t="s">
        <v>170</v>
      </c>
      <c r="N38" s="118"/>
      <c r="O38" s="118"/>
      <c r="P38" s="118"/>
      <c r="Q38" s="118"/>
      <c r="R38" s="118"/>
      <c r="S38" s="118"/>
      <c r="T38" s="118"/>
    </row>
    <row r="39" spans="2:20" x14ac:dyDescent="0.2">
      <c r="B39" s="109" t="s">
        <v>402</v>
      </c>
      <c r="C39" s="116">
        <v>9.9</v>
      </c>
      <c r="D39" s="116">
        <v>9.6999999999999993</v>
      </c>
      <c r="E39" s="116">
        <v>7</v>
      </c>
      <c r="F39" s="116">
        <v>21.2</v>
      </c>
      <c r="G39" s="116">
        <v>6.4</v>
      </c>
      <c r="H39" s="116">
        <v>6.1</v>
      </c>
      <c r="I39" s="117">
        <v>7.9</v>
      </c>
      <c r="J39" s="117">
        <v>11</v>
      </c>
      <c r="L39" s="118"/>
      <c r="M39" s="120">
        <f>+M51</f>
        <v>2.5048804803330635</v>
      </c>
      <c r="N39" s="118"/>
      <c r="O39" s="118"/>
      <c r="P39" s="118"/>
      <c r="Q39" s="118"/>
      <c r="R39" s="118"/>
      <c r="S39" s="118"/>
      <c r="T39" s="118"/>
    </row>
    <row r="40" spans="2:20" x14ac:dyDescent="0.2">
      <c r="B40" s="113" t="s">
        <v>90</v>
      </c>
      <c r="C40" s="114"/>
      <c r="D40" s="114"/>
      <c r="E40" s="114"/>
      <c r="F40" s="114"/>
      <c r="G40" s="114"/>
      <c r="H40" s="114"/>
      <c r="I40" s="115"/>
      <c r="J40" s="115"/>
      <c r="L40" s="118"/>
      <c r="M40" s="118"/>
      <c r="N40" s="118"/>
      <c r="O40" s="118"/>
      <c r="P40" s="118"/>
      <c r="Q40" s="118"/>
      <c r="R40" s="118"/>
      <c r="S40" s="118"/>
      <c r="T40" s="118"/>
    </row>
    <row r="41" spans="2:20" x14ac:dyDescent="0.2">
      <c r="B41" s="109" t="s">
        <v>403</v>
      </c>
      <c r="C41" s="114">
        <v>52214</v>
      </c>
      <c r="D41" s="114">
        <v>336357</v>
      </c>
      <c r="E41" s="114">
        <v>40850</v>
      </c>
      <c r="F41" s="114">
        <v>893157</v>
      </c>
      <c r="G41" s="114">
        <v>109690</v>
      </c>
      <c r="H41" s="114">
        <v>22775</v>
      </c>
      <c r="I41" s="115">
        <v>112553</v>
      </c>
      <c r="J41" s="115">
        <v>93247</v>
      </c>
      <c r="L41" s="118"/>
      <c r="M41" s="118"/>
      <c r="N41" s="118"/>
      <c r="O41" s="118"/>
      <c r="P41" s="118"/>
      <c r="Q41" s="118"/>
      <c r="R41" s="118"/>
      <c r="S41" s="118"/>
      <c r="T41" s="118"/>
    </row>
    <row r="42" spans="2:20" x14ac:dyDescent="0.2">
      <c r="B42" s="109" t="s">
        <v>92</v>
      </c>
      <c r="C42" s="114">
        <v>51473</v>
      </c>
      <c r="D42" s="114">
        <v>325375</v>
      </c>
      <c r="E42" s="114">
        <v>40234</v>
      </c>
      <c r="F42" s="114">
        <v>851261</v>
      </c>
      <c r="G42" s="114">
        <v>107367</v>
      </c>
      <c r="H42" s="114">
        <v>21900</v>
      </c>
      <c r="I42" s="115">
        <v>108182</v>
      </c>
      <c r="J42" s="115">
        <v>90665</v>
      </c>
      <c r="L42" s="118"/>
      <c r="M42" s="118"/>
      <c r="N42" s="118"/>
      <c r="O42" s="118"/>
      <c r="P42" s="118"/>
      <c r="Q42" s="118"/>
      <c r="R42" s="118"/>
      <c r="S42" s="118"/>
      <c r="T42" s="118"/>
    </row>
    <row r="43" spans="2:20" x14ac:dyDescent="0.2">
      <c r="B43" s="109" t="s">
        <v>404</v>
      </c>
      <c r="C43" s="116">
        <v>66.8</v>
      </c>
      <c r="D43" s="116">
        <v>61</v>
      </c>
      <c r="E43" s="116">
        <v>67.8</v>
      </c>
      <c r="F43" s="116">
        <v>57.4</v>
      </c>
      <c r="G43" s="116">
        <v>67.2</v>
      </c>
      <c r="H43" s="116">
        <v>57.6</v>
      </c>
      <c r="I43" s="117">
        <v>64.599999999999994</v>
      </c>
      <c r="J43" s="117">
        <v>63.1</v>
      </c>
      <c r="L43" s="118"/>
      <c r="M43" s="118"/>
      <c r="N43" s="118"/>
      <c r="O43" s="118"/>
      <c r="P43" s="118"/>
      <c r="Q43" s="118"/>
      <c r="R43" s="118"/>
      <c r="S43" s="118"/>
      <c r="T43" s="118"/>
    </row>
    <row r="44" spans="2:20" x14ac:dyDescent="0.2">
      <c r="B44" s="109" t="s">
        <v>405</v>
      </c>
      <c r="C44" s="114">
        <v>249800</v>
      </c>
      <c r="D44" s="114">
        <v>232600</v>
      </c>
      <c r="E44" s="114">
        <v>290900</v>
      </c>
      <c r="F44" s="114">
        <v>384300</v>
      </c>
      <c r="G44" s="114">
        <v>258700</v>
      </c>
      <c r="H44" s="114">
        <v>242900</v>
      </c>
      <c r="I44" s="115">
        <v>239400</v>
      </c>
      <c r="J44" s="115">
        <v>274700</v>
      </c>
      <c r="L44" s="118"/>
      <c r="M44" s="118"/>
      <c r="N44" s="118"/>
      <c r="O44" s="118"/>
      <c r="P44" s="118"/>
      <c r="Q44" s="118"/>
      <c r="R44" s="118"/>
      <c r="S44" s="118"/>
      <c r="T44" s="118"/>
    </row>
    <row r="45" spans="2:20" x14ac:dyDescent="0.2">
      <c r="B45" s="109" t="s">
        <v>406</v>
      </c>
      <c r="C45" s="114">
        <v>1621</v>
      </c>
      <c r="D45" s="114">
        <v>1735</v>
      </c>
      <c r="E45" s="114">
        <v>1688</v>
      </c>
      <c r="F45" s="114">
        <v>2196</v>
      </c>
      <c r="G45" s="114">
        <v>1689</v>
      </c>
      <c r="H45" s="114">
        <v>1476</v>
      </c>
      <c r="I45" s="115">
        <v>1666</v>
      </c>
      <c r="J45" s="115">
        <v>1612</v>
      </c>
      <c r="L45" s="118"/>
      <c r="M45" s="118"/>
      <c r="N45" s="118"/>
      <c r="O45" s="118"/>
      <c r="P45" s="118"/>
      <c r="Q45" s="118"/>
      <c r="R45" s="118"/>
      <c r="S45" s="118"/>
      <c r="T45" s="118"/>
    </row>
    <row r="46" spans="2:20" x14ac:dyDescent="0.2">
      <c r="B46" s="109" t="s">
        <v>407</v>
      </c>
      <c r="C46" s="114">
        <v>521</v>
      </c>
      <c r="D46" s="114">
        <v>547</v>
      </c>
      <c r="E46" s="114">
        <v>497</v>
      </c>
      <c r="F46" s="114">
        <v>689</v>
      </c>
      <c r="G46" s="114">
        <v>513</v>
      </c>
      <c r="H46" s="114">
        <v>458</v>
      </c>
      <c r="I46" s="115">
        <v>500</v>
      </c>
      <c r="J46" s="115">
        <v>478</v>
      </c>
      <c r="L46" s="118"/>
      <c r="M46" s="118"/>
      <c r="N46" s="118"/>
      <c r="O46" s="118"/>
      <c r="P46" s="118"/>
      <c r="Q46" s="118"/>
      <c r="R46" s="118"/>
      <c r="S46" s="118"/>
      <c r="T46" s="118"/>
    </row>
    <row r="47" spans="2:20" x14ac:dyDescent="0.2">
      <c r="B47" s="109" t="s">
        <v>408</v>
      </c>
      <c r="C47" s="114">
        <v>954</v>
      </c>
      <c r="D47" s="114">
        <v>1029</v>
      </c>
      <c r="E47" s="114">
        <v>1076</v>
      </c>
      <c r="F47" s="114">
        <v>1204</v>
      </c>
      <c r="G47" s="114">
        <v>1042</v>
      </c>
      <c r="H47" s="114">
        <v>798</v>
      </c>
      <c r="I47" s="115">
        <v>1054</v>
      </c>
      <c r="J47" s="115">
        <v>925</v>
      </c>
      <c r="L47" s="118"/>
      <c r="M47" s="118"/>
      <c r="N47" s="118"/>
      <c r="O47" s="118"/>
      <c r="P47" s="118"/>
      <c r="Q47" s="118"/>
      <c r="R47" s="118"/>
      <c r="S47" s="118"/>
      <c r="T47" s="118"/>
    </row>
    <row r="48" spans="2:20" x14ac:dyDescent="0.2">
      <c r="B48" s="109" t="s">
        <v>409</v>
      </c>
      <c r="C48" s="114">
        <v>438</v>
      </c>
      <c r="D48" s="114">
        <v>2897</v>
      </c>
      <c r="E48" s="114">
        <v>281</v>
      </c>
      <c r="F48" s="114">
        <v>18537</v>
      </c>
      <c r="G48" s="114">
        <v>918</v>
      </c>
      <c r="H48" s="114">
        <v>295</v>
      </c>
      <c r="I48" s="115">
        <v>1020</v>
      </c>
      <c r="J48" s="115">
        <v>1144</v>
      </c>
      <c r="L48" s="118"/>
      <c r="M48" s="118"/>
      <c r="N48" s="118"/>
      <c r="O48" s="118"/>
      <c r="P48" s="118"/>
      <c r="Q48" s="118"/>
      <c r="R48" s="118"/>
      <c r="S48" s="118"/>
      <c r="T48" s="118"/>
    </row>
    <row r="49" spans="2:20" x14ac:dyDescent="0.2">
      <c r="B49" s="113" t="s">
        <v>99</v>
      </c>
      <c r="C49" s="114"/>
      <c r="D49" s="114"/>
      <c r="E49" s="114"/>
      <c r="F49" s="114"/>
      <c r="G49" s="114"/>
      <c r="H49" s="114"/>
      <c r="I49" s="115"/>
      <c r="J49" s="115"/>
      <c r="L49" s="118"/>
      <c r="M49" s="118"/>
      <c r="N49" s="118"/>
      <c r="O49" s="118"/>
      <c r="P49" s="118"/>
      <c r="Q49" s="118"/>
      <c r="R49" s="118"/>
      <c r="S49" s="118"/>
      <c r="T49" s="118"/>
    </row>
    <row r="50" spans="2:20" x14ac:dyDescent="0.2">
      <c r="B50" s="109" t="s">
        <v>410</v>
      </c>
      <c r="C50" s="114">
        <v>45841</v>
      </c>
      <c r="D50" s="114">
        <v>303586</v>
      </c>
      <c r="E50" s="114">
        <v>33125</v>
      </c>
      <c r="F50" s="114">
        <v>819651</v>
      </c>
      <c r="G50" s="114">
        <v>97739</v>
      </c>
      <c r="H50" s="114">
        <v>16953</v>
      </c>
      <c r="I50" s="115">
        <v>102631</v>
      </c>
      <c r="J50" s="115">
        <v>79767</v>
      </c>
      <c r="L50" s="121">
        <f>+C51*C50</f>
        <v>117352.96000000001</v>
      </c>
      <c r="M50" s="121">
        <f>+D51*D50</f>
        <v>804502.9</v>
      </c>
      <c r="N50" s="118">
        <f t="shared" ref="N50:R50" si="0">+E51*E50</f>
        <v>77181.25</v>
      </c>
      <c r="O50" s="118">
        <f t="shared" si="0"/>
        <v>2008144.9500000002</v>
      </c>
      <c r="P50" s="118">
        <f t="shared" si="0"/>
        <v>248257.06</v>
      </c>
      <c r="Q50" s="118">
        <f t="shared" si="0"/>
        <v>39670.019999999997</v>
      </c>
      <c r="R50" s="118">
        <f t="shared" si="0"/>
        <v>258630.12</v>
      </c>
      <c r="S50" s="118">
        <f>+J51*J50</f>
        <v>201810.50999999998</v>
      </c>
      <c r="T50" s="121">
        <f>+K51*K50</f>
        <v>0</v>
      </c>
    </row>
    <row r="51" spans="2:20" x14ac:dyDescent="0.2">
      <c r="B51" s="109" t="s">
        <v>411</v>
      </c>
      <c r="C51" s="122">
        <v>2.56</v>
      </c>
      <c r="D51" s="122">
        <v>2.65</v>
      </c>
      <c r="E51" s="122">
        <v>2.33</v>
      </c>
      <c r="F51" s="122">
        <v>2.4500000000000002</v>
      </c>
      <c r="G51" s="122">
        <v>2.54</v>
      </c>
      <c r="H51" s="122">
        <v>2.34</v>
      </c>
      <c r="I51" s="123">
        <v>2.52</v>
      </c>
      <c r="J51" s="123">
        <v>2.5299999999999998</v>
      </c>
      <c r="L51" s="124"/>
      <c r="M51" s="124">
        <f>+SUM(L50:S50)/SUM(C50:J50)</f>
        <v>2.5048804803330635</v>
      </c>
      <c r="N51" s="124"/>
      <c r="O51" s="124"/>
      <c r="P51" s="118"/>
      <c r="Q51" s="118"/>
      <c r="R51" s="118"/>
      <c r="S51" s="118"/>
      <c r="T51" s="118"/>
    </row>
    <row r="52" spans="2:20" ht="25.5" x14ac:dyDescent="0.2">
      <c r="B52" s="109" t="s">
        <v>412</v>
      </c>
      <c r="C52" s="116">
        <v>83</v>
      </c>
      <c r="D52" s="116">
        <v>82.5</v>
      </c>
      <c r="E52" s="116">
        <v>82.7</v>
      </c>
      <c r="F52" s="116">
        <v>81.2</v>
      </c>
      <c r="G52" s="116">
        <v>81.099999999999994</v>
      </c>
      <c r="H52" s="116">
        <v>70.8</v>
      </c>
      <c r="I52" s="117">
        <v>81</v>
      </c>
      <c r="J52" s="117">
        <v>82.5</v>
      </c>
      <c r="L52" s="125"/>
      <c r="M52" s="125" t="s">
        <v>104</v>
      </c>
      <c r="N52" s="125"/>
      <c r="O52" s="125"/>
      <c r="P52" s="118"/>
      <c r="Q52" s="118"/>
      <c r="R52" s="118"/>
      <c r="S52" s="118"/>
      <c r="T52" s="118"/>
    </row>
    <row r="53" spans="2:20" x14ac:dyDescent="0.2">
      <c r="B53" s="109" t="s">
        <v>413</v>
      </c>
      <c r="C53" s="116">
        <v>15.3</v>
      </c>
      <c r="D53" s="116">
        <v>14.9</v>
      </c>
      <c r="E53" s="116">
        <v>8.6</v>
      </c>
      <c r="F53" s="116">
        <v>26.4</v>
      </c>
      <c r="G53" s="116">
        <v>7.8</v>
      </c>
      <c r="H53" s="116">
        <v>9.1</v>
      </c>
      <c r="I53" s="117">
        <v>11.4</v>
      </c>
      <c r="J53" s="117">
        <v>12.4</v>
      </c>
      <c r="L53" s="125"/>
      <c r="M53" s="125"/>
      <c r="N53" s="118"/>
      <c r="O53" s="125"/>
      <c r="P53" s="118"/>
      <c r="Q53" s="118"/>
      <c r="R53" s="118"/>
      <c r="S53" s="118"/>
      <c r="T53" s="118"/>
    </row>
    <row r="54" spans="2:20" x14ac:dyDescent="0.2">
      <c r="B54" s="113" t="s">
        <v>107</v>
      </c>
      <c r="C54" s="114"/>
      <c r="D54" s="114"/>
      <c r="E54" s="114"/>
      <c r="F54" s="114"/>
      <c r="G54" s="114"/>
      <c r="H54" s="114"/>
      <c r="I54" s="115"/>
      <c r="J54" s="115"/>
      <c r="L54" s="118"/>
      <c r="M54" s="118"/>
      <c r="N54" s="118"/>
      <c r="O54" s="118"/>
      <c r="P54" s="118"/>
      <c r="Q54" s="118"/>
      <c r="R54" s="118"/>
      <c r="S54" s="118"/>
      <c r="T54" s="118"/>
    </row>
    <row r="55" spans="2:20" x14ac:dyDescent="0.2">
      <c r="B55" s="109" t="s">
        <v>414</v>
      </c>
      <c r="C55" s="116">
        <v>88.3</v>
      </c>
      <c r="D55" s="116">
        <v>90.9</v>
      </c>
      <c r="E55" s="116">
        <v>94.5</v>
      </c>
      <c r="F55" s="116">
        <v>92.3</v>
      </c>
      <c r="G55" s="116">
        <v>94.5</v>
      </c>
      <c r="H55" s="116">
        <v>90.8</v>
      </c>
      <c r="I55" s="117">
        <v>93.4</v>
      </c>
      <c r="J55" s="117">
        <v>91.2</v>
      </c>
      <c r="L55" s="118"/>
      <c r="M55" s="118"/>
      <c r="N55" s="118"/>
      <c r="O55" s="118"/>
      <c r="P55" s="118"/>
      <c r="Q55" s="118"/>
      <c r="R55" s="118"/>
      <c r="S55" s="118"/>
      <c r="T55" s="118"/>
    </row>
    <row r="56" spans="2:20" x14ac:dyDescent="0.2">
      <c r="B56" s="109" t="s">
        <v>415</v>
      </c>
      <c r="C56" s="116">
        <v>24.8</v>
      </c>
      <c r="D56" s="116">
        <v>24.7</v>
      </c>
      <c r="E56" s="116">
        <v>31.7</v>
      </c>
      <c r="F56" s="116">
        <v>47.9</v>
      </c>
      <c r="G56" s="116">
        <v>30.3</v>
      </c>
      <c r="H56" s="116">
        <v>33.6</v>
      </c>
      <c r="I56" s="117">
        <v>33.4</v>
      </c>
      <c r="J56" s="117">
        <v>32.5</v>
      </c>
      <c r="L56" s="118"/>
      <c r="M56" s="118"/>
      <c r="N56" s="118"/>
      <c r="O56" s="118"/>
      <c r="P56" s="118"/>
      <c r="Q56" s="118"/>
      <c r="R56" s="118"/>
      <c r="S56" s="118"/>
      <c r="T56" s="118"/>
    </row>
    <row r="57" spans="2:20" x14ac:dyDescent="0.2">
      <c r="B57" s="113" t="s">
        <v>110</v>
      </c>
      <c r="C57" s="114"/>
      <c r="D57" s="114"/>
      <c r="E57" s="114"/>
      <c r="F57" s="114"/>
      <c r="G57" s="114"/>
      <c r="H57" s="114"/>
      <c r="I57" s="115"/>
      <c r="J57" s="115"/>
      <c r="L57" s="118"/>
      <c r="M57" s="118"/>
      <c r="N57" s="118"/>
      <c r="O57" s="118"/>
      <c r="P57" s="118"/>
      <c r="Q57" s="118"/>
      <c r="R57" s="118"/>
      <c r="S57" s="118"/>
      <c r="T57" s="118"/>
    </row>
    <row r="58" spans="2:20" x14ac:dyDescent="0.2">
      <c r="B58" s="109" t="s">
        <v>416</v>
      </c>
      <c r="C58" s="116">
        <v>9.9</v>
      </c>
      <c r="D58" s="116">
        <v>10.1</v>
      </c>
      <c r="E58" s="116">
        <v>10</v>
      </c>
      <c r="F58" s="116">
        <v>6.4</v>
      </c>
      <c r="G58" s="116">
        <v>11.7</v>
      </c>
      <c r="H58" s="116">
        <v>9.6</v>
      </c>
      <c r="I58" s="117">
        <v>8.6</v>
      </c>
      <c r="J58" s="117">
        <v>9.3000000000000007</v>
      </c>
      <c r="L58" s="118"/>
      <c r="M58" s="118"/>
      <c r="N58" s="118"/>
      <c r="O58" s="118"/>
      <c r="P58" s="118"/>
      <c r="Q58" s="118"/>
      <c r="R58" s="118"/>
      <c r="S58" s="118"/>
      <c r="T58" s="118"/>
    </row>
    <row r="59" spans="2:20" x14ac:dyDescent="0.2">
      <c r="B59" s="109" t="s">
        <v>112</v>
      </c>
      <c r="C59" s="116">
        <v>9.8000000000000007</v>
      </c>
      <c r="D59" s="116">
        <v>7.3</v>
      </c>
      <c r="E59" s="116">
        <v>6.2</v>
      </c>
      <c r="F59" s="116">
        <v>6.5</v>
      </c>
      <c r="G59" s="116">
        <v>5.8</v>
      </c>
      <c r="H59" s="116">
        <v>8.9</v>
      </c>
      <c r="I59" s="117">
        <v>6.6</v>
      </c>
      <c r="J59" s="117">
        <v>9.1</v>
      </c>
      <c r="L59" s="118"/>
      <c r="M59" s="118"/>
      <c r="N59" s="118"/>
      <c r="O59" s="118"/>
      <c r="P59" s="118"/>
      <c r="Q59" s="118"/>
      <c r="R59" s="118"/>
      <c r="S59" s="118"/>
      <c r="T59" s="118"/>
    </row>
    <row r="60" spans="2:20" x14ac:dyDescent="0.2">
      <c r="B60" s="113" t="s">
        <v>113</v>
      </c>
      <c r="C60" s="114"/>
      <c r="D60" s="114"/>
      <c r="E60" s="114"/>
      <c r="F60" s="114"/>
      <c r="G60" s="114"/>
      <c r="H60" s="114"/>
      <c r="I60" s="115"/>
      <c r="J60" s="115"/>
    </row>
    <row r="61" spans="2:20" x14ac:dyDescent="0.2">
      <c r="B61" s="109" t="s">
        <v>417</v>
      </c>
      <c r="C61" s="116">
        <v>59</v>
      </c>
      <c r="D61" s="116">
        <v>62.3</v>
      </c>
      <c r="E61" s="116">
        <v>52.9</v>
      </c>
      <c r="F61" s="116">
        <v>69.3</v>
      </c>
      <c r="G61" s="116">
        <v>56.4</v>
      </c>
      <c r="H61" s="116">
        <v>60.6</v>
      </c>
      <c r="I61" s="117">
        <v>61.7</v>
      </c>
      <c r="J61" s="117">
        <v>62.9</v>
      </c>
    </row>
    <row r="62" spans="2:20" x14ac:dyDescent="0.2">
      <c r="B62" s="109" t="s">
        <v>418</v>
      </c>
      <c r="C62" s="116">
        <v>53.9</v>
      </c>
      <c r="D62" s="116">
        <v>58.2</v>
      </c>
      <c r="E62" s="116">
        <v>51.4</v>
      </c>
      <c r="F62" s="116">
        <v>63.3</v>
      </c>
      <c r="G62" s="116">
        <v>54</v>
      </c>
      <c r="H62" s="116">
        <v>56.2</v>
      </c>
      <c r="I62" s="117">
        <v>59.2</v>
      </c>
      <c r="J62" s="117">
        <v>57.9</v>
      </c>
    </row>
    <row r="63" spans="2:20" x14ac:dyDescent="0.2">
      <c r="B63" s="109" t="s">
        <v>419</v>
      </c>
      <c r="C63" s="114">
        <v>291510</v>
      </c>
      <c r="D63" s="114">
        <v>1362981</v>
      </c>
      <c r="E63" s="114" t="s">
        <v>117</v>
      </c>
      <c r="F63" s="114">
        <v>6223768</v>
      </c>
      <c r="G63" s="114">
        <v>425981</v>
      </c>
      <c r="H63" s="114">
        <v>101409</v>
      </c>
      <c r="I63" s="115">
        <v>419185</v>
      </c>
      <c r="J63" s="115">
        <v>492949</v>
      </c>
    </row>
    <row r="64" spans="2:20" x14ac:dyDescent="0.2">
      <c r="B64" s="109" t="s">
        <v>420</v>
      </c>
      <c r="C64" s="114">
        <v>700349</v>
      </c>
      <c r="D64" s="114">
        <v>5369260</v>
      </c>
      <c r="E64" s="114">
        <v>228308</v>
      </c>
      <c r="F64" s="114">
        <v>17719220</v>
      </c>
      <c r="G64" s="114">
        <v>1272843</v>
      </c>
      <c r="H64" s="114">
        <v>114895</v>
      </c>
      <c r="I64" s="115">
        <v>1584793</v>
      </c>
      <c r="J64" s="115">
        <v>1026198</v>
      </c>
    </row>
    <row r="65" spans="2:10" x14ac:dyDescent="0.2">
      <c r="B65" s="109" t="s">
        <v>421</v>
      </c>
      <c r="C65" s="114">
        <v>11529427</v>
      </c>
      <c r="D65" s="114">
        <v>4461036</v>
      </c>
      <c r="E65" s="114">
        <v>125716</v>
      </c>
      <c r="F65" s="114" t="s">
        <v>117</v>
      </c>
      <c r="G65" s="114">
        <v>328168</v>
      </c>
      <c r="H65" s="114" t="s">
        <v>117</v>
      </c>
      <c r="I65" s="115">
        <v>910527</v>
      </c>
      <c r="J65" s="115">
        <v>14932180</v>
      </c>
    </row>
    <row r="66" spans="2:10" x14ac:dyDescent="0.2">
      <c r="B66" s="109" t="s">
        <v>422</v>
      </c>
      <c r="C66" s="114">
        <v>793543</v>
      </c>
      <c r="D66" s="114">
        <v>7705621</v>
      </c>
      <c r="E66" s="114">
        <v>57537</v>
      </c>
      <c r="F66" s="114">
        <v>42092462</v>
      </c>
      <c r="G66" s="114">
        <v>407880</v>
      </c>
      <c r="H66" s="114">
        <v>398681</v>
      </c>
      <c r="I66" s="115">
        <v>1252014</v>
      </c>
      <c r="J66" s="115" t="s">
        <v>117</v>
      </c>
    </row>
    <row r="67" spans="2:10" x14ac:dyDescent="0.2">
      <c r="B67" s="109" t="s">
        <v>423</v>
      </c>
      <c r="C67" s="114">
        <v>1999168</v>
      </c>
      <c r="D67" s="114">
        <v>10114397</v>
      </c>
      <c r="E67" s="114">
        <v>456279</v>
      </c>
      <c r="F67" s="114">
        <v>61598157</v>
      </c>
      <c r="G67" s="114">
        <v>2674165</v>
      </c>
      <c r="H67" s="114">
        <v>515984</v>
      </c>
      <c r="I67" s="115">
        <v>3330812</v>
      </c>
      <c r="J67" s="115">
        <v>3103604</v>
      </c>
    </row>
    <row r="68" spans="2:10" x14ac:dyDescent="0.2">
      <c r="B68" s="109" t="s">
        <v>424</v>
      </c>
      <c r="C68" s="114">
        <v>16910</v>
      </c>
      <c r="D68" s="114">
        <v>12461</v>
      </c>
      <c r="E68" s="114">
        <v>5763</v>
      </c>
      <c r="F68" s="114">
        <v>30685</v>
      </c>
      <c r="G68" s="114">
        <v>10487</v>
      </c>
      <c r="H68" s="114">
        <v>12382</v>
      </c>
      <c r="I68" s="115">
        <v>12894</v>
      </c>
      <c r="J68" s="115">
        <v>15120</v>
      </c>
    </row>
    <row r="69" spans="2:10" x14ac:dyDescent="0.2">
      <c r="B69" s="113" t="s">
        <v>123</v>
      </c>
      <c r="C69" s="114"/>
      <c r="D69" s="114"/>
      <c r="E69" s="114"/>
      <c r="F69" s="114"/>
      <c r="G69" s="114"/>
      <c r="H69" s="114"/>
      <c r="I69" s="115"/>
      <c r="J69" s="115"/>
    </row>
    <row r="70" spans="2:10" x14ac:dyDescent="0.2">
      <c r="B70" s="109" t="s">
        <v>425</v>
      </c>
      <c r="C70" s="116">
        <v>24.7</v>
      </c>
      <c r="D70" s="116">
        <v>29.8</v>
      </c>
      <c r="E70" s="116">
        <v>28.6</v>
      </c>
      <c r="F70" s="116">
        <v>28.1</v>
      </c>
      <c r="G70" s="116">
        <v>29.9</v>
      </c>
      <c r="H70" s="116">
        <v>21.3</v>
      </c>
      <c r="I70" s="117">
        <v>24.6</v>
      </c>
      <c r="J70" s="117">
        <v>20.399999999999999</v>
      </c>
    </row>
    <row r="71" spans="2:10" x14ac:dyDescent="0.2">
      <c r="B71" s="113" t="s">
        <v>125</v>
      </c>
      <c r="C71" s="114"/>
      <c r="D71" s="114"/>
      <c r="E71" s="114"/>
      <c r="F71" s="114"/>
      <c r="G71" s="114"/>
      <c r="H71" s="114"/>
      <c r="I71" s="115"/>
      <c r="J71" s="115"/>
    </row>
    <row r="72" spans="2:10" x14ac:dyDescent="0.2">
      <c r="B72" s="109" t="s">
        <v>426</v>
      </c>
      <c r="C72" s="114">
        <v>54129</v>
      </c>
      <c r="D72" s="114">
        <v>59953</v>
      </c>
      <c r="E72" s="114">
        <v>58815</v>
      </c>
      <c r="F72" s="114">
        <v>75302</v>
      </c>
      <c r="G72" s="114">
        <v>62941</v>
      </c>
      <c r="H72" s="114">
        <v>46458</v>
      </c>
      <c r="I72" s="115">
        <v>61677</v>
      </c>
      <c r="J72" s="115">
        <v>53145</v>
      </c>
    </row>
    <row r="73" spans="2:10" x14ac:dyDescent="0.2">
      <c r="B73" s="109" t="s">
        <v>427</v>
      </c>
      <c r="C73" s="114">
        <v>27794</v>
      </c>
      <c r="D73" s="114">
        <v>28824</v>
      </c>
      <c r="E73" s="114">
        <v>31836</v>
      </c>
      <c r="F73" s="114">
        <v>41664</v>
      </c>
      <c r="G73" s="114">
        <v>32063</v>
      </c>
      <c r="H73" s="114">
        <v>24014</v>
      </c>
      <c r="I73" s="115">
        <v>29741</v>
      </c>
      <c r="J73" s="115">
        <v>27223</v>
      </c>
    </row>
    <row r="74" spans="2:10" x14ac:dyDescent="0.2">
      <c r="B74" s="109" t="s">
        <v>128</v>
      </c>
      <c r="C74" s="116">
        <v>14.9</v>
      </c>
      <c r="D74" s="116">
        <v>12.4</v>
      </c>
      <c r="E74" s="116">
        <v>8.4</v>
      </c>
      <c r="F74" s="116">
        <v>9.8000000000000007</v>
      </c>
      <c r="G74" s="116">
        <v>9.9</v>
      </c>
      <c r="H74" s="116">
        <v>20</v>
      </c>
      <c r="I74" s="117">
        <v>12.2</v>
      </c>
      <c r="J74" s="117">
        <v>14.4</v>
      </c>
    </row>
    <row r="75" spans="2:10" x14ac:dyDescent="0.2">
      <c r="B75" s="109" t="s">
        <v>129</v>
      </c>
      <c r="C75" s="114" t="s">
        <v>49</v>
      </c>
      <c r="D75" s="114" t="s">
        <v>48</v>
      </c>
      <c r="E75" s="114" t="s">
        <v>47</v>
      </c>
      <c r="F75" s="114" t="s">
        <v>45</v>
      </c>
      <c r="G75" s="114" t="s">
        <v>44</v>
      </c>
      <c r="H75" s="114" t="s">
        <v>43</v>
      </c>
      <c r="I75" s="115" t="s">
        <v>51</v>
      </c>
      <c r="J75" s="115" t="s">
        <v>50</v>
      </c>
    </row>
    <row r="76" spans="2:10" x14ac:dyDescent="0.2">
      <c r="B76" s="109" t="s">
        <v>428</v>
      </c>
      <c r="C76" s="114">
        <v>3417</v>
      </c>
      <c r="D76" s="114">
        <v>17012</v>
      </c>
      <c r="E76" s="114">
        <v>1706</v>
      </c>
      <c r="F76" s="114">
        <v>66891</v>
      </c>
      <c r="G76" s="114">
        <v>5676</v>
      </c>
      <c r="H76" s="114">
        <v>1193</v>
      </c>
      <c r="I76" s="115">
        <v>6039</v>
      </c>
      <c r="J76" s="115">
        <v>6401</v>
      </c>
    </row>
    <row r="77" spans="2:10" x14ac:dyDescent="0.2">
      <c r="B77" s="109" t="s">
        <v>429</v>
      </c>
      <c r="C77" s="114">
        <v>39772</v>
      </c>
      <c r="D77" s="114">
        <v>244855</v>
      </c>
      <c r="E77" s="114">
        <v>12224</v>
      </c>
      <c r="F77" s="114">
        <v>1133727</v>
      </c>
      <c r="G77" s="114">
        <v>57374</v>
      </c>
      <c r="H77" s="114">
        <v>11086</v>
      </c>
      <c r="I77" s="115">
        <v>68684</v>
      </c>
      <c r="J77" s="115">
        <v>73743</v>
      </c>
    </row>
    <row r="78" spans="2:10" x14ac:dyDescent="0.2">
      <c r="B78" s="109" t="s">
        <v>430</v>
      </c>
      <c r="C78" s="114">
        <v>1724239</v>
      </c>
      <c r="D78" s="114">
        <v>10815084</v>
      </c>
      <c r="E78" s="114">
        <v>433854</v>
      </c>
      <c r="F78" s="114">
        <v>83213348</v>
      </c>
      <c r="G78" s="114">
        <v>2188302</v>
      </c>
      <c r="H78" s="114">
        <v>369769</v>
      </c>
      <c r="I78" s="115">
        <v>2708536</v>
      </c>
      <c r="J78" s="115">
        <v>3052018</v>
      </c>
    </row>
    <row r="79" spans="2:10" x14ac:dyDescent="0.2">
      <c r="B79" s="109" t="s">
        <v>431</v>
      </c>
      <c r="C79" s="116">
        <v>0.4</v>
      </c>
      <c r="D79" s="116">
        <v>1.5</v>
      </c>
      <c r="E79" s="116">
        <v>5.2</v>
      </c>
      <c r="F79" s="116">
        <v>3.4</v>
      </c>
      <c r="G79" s="116">
        <v>2.6</v>
      </c>
      <c r="H79" s="116">
        <v>5.5</v>
      </c>
      <c r="I79" s="117">
        <v>3.5</v>
      </c>
      <c r="J79" s="117">
        <v>2.5</v>
      </c>
    </row>
    <row r="80" spans="2:10" x14ac:dyDescent="0.2">
      <c r="B80" s="109" t="s">
        <v>432</v>
      </c>
      <c r="C80" s="114">
        <v>7548</v>
      </c>
      <c r="D80" s="114">
        <v>40709</v>
      </c>
      <c r="E80" s="114">
        <v>5747</v>
      </c>
      <c r="F80" s="114">
        <v>159920</v>
      </c>
      <c r="G80" s="114">
        <v>14142</v>
      </c>
      <c r="H80" s="114">
        <v>2519</v>
      </c>
      <c r="I80" s="115">
        <v>14338</v>
      </c>
      <c r="J80" s="115">
        <v>14710</v>
      </c>
    </row>
    <row r="81" spans="2:10" x14ac:dyDescent="0.2">
      <c r="B81" s="109" t="s">
        <v>136</v>
      </c>
      <c r="C81" s="114">
        <v>9505</v>
      </c>
      <c r="D81" s="114">
        <v>50503</v>
      </c>
      <c r="E81" s="114">
        <v>7083</v>
      </c>
      <c r="F81" s="114">
        <v>201404</v>
      </c>
      <c r="G81" s="114">
        <v>18206</v>
      </c>
      <c r="H81" s="114">
        <v>3128</v>
      </c>
      <c r="I81" s="115">
        <v>18842</v>
      </c>
      <c r="J81" s="115">
        <v>18054</v>
      </c>
    </row>
    <row r="82" spans="2:10" x14ac:dyDescent="0.2">
      <c r="B82" s="109" t="s">
        <v>137</v>
      </c>
      <c r="C82" s="114">
        <v>4460</v>
      </c>
      <c r="D82" s="114">
        <v>23389</v>
      </c>
      <c r="E82" s="114">
        <v>2966</v>
      </c>
      <c r="F82" s="114">
        <v>100912</v>
      </c>
      <c r="G82" s="114">
        <v>7934</v>
      </c>
      <c r="H82" s="114">
        <v>1248</v>
      </c>
      <c r="I82" s="115">
        <v>8970</v>
      </c>
      <c r="J82" s="115">
        <v>8898</v>
      </c>
    </row>
    <row r="83" spans="2:10" x14ac:dyDescent="0.2">
      <c r="B83" s="109" t="s">
        <v>138</v>
      </c>
      <c r="C83" s="114">
        <v>2889</v>
      </c>
      <c r="D83" s="114">
        <v>18469</v>
      </c>
      <c r="E83" s="114">
        <v>2788</v>
      </c>
      <c r="F83" s="114">
        <v>71005</v>
      </c>
      <c r="G83" s="114">
        <v>6698</v>
      </c>
      <c r="H83" s="114">
        <v>1029</v>
      </c>
      <c r="I83" s="115">
        <v>6797</v>
      </c>
      <c r="J83" s="115">
        <v>5810</v>
      </c>
    </row>
    <row r="84" spans="2:10" x14ac:dyDescent="0.2">
      <c r="B84" s="109" t="s">
        <v>139</v>
      </c>
      <c r="C84" s="114">
        <v>1028</v>
      </c>
      <c r="D84" s="114">
        <v>9316</v>
      </c>
      <c r="E84" s="114">
        <v>520</v>
      </c>
      <c r="F84" s="114">
        <v>45508</v>
      </c>
      <c r="G84" s="114">
        <v>1947</v>
      </c>
      <c r="H84" s="114">
        <v>153</v>
      </c>
      <c r="I84" s="115">
        <v>2758</v>
      </c>
      <c r="J84" s="115">
        <v>1802</v>
      </c>
    </row>
    <row r="85" spans="2:10" x14ac:dyDescent="0.2">
      <c r="B85" s="109" t="s">
        <v>140</v>
      </c>
      <c r="C85" s="114">
        <v>8059</v>
      </c>
      <c r="D85" s="114">
        <v>38961</v>
      </c>
      <c r="E85" s="114">
        <v>6128</v>
      </c>
      <c r="F85" s="114">
        <v>145726</v>
      </c>
      <c r="G85" s="114">
        <v>15307</v>
      </c>
      <c r="H85" s="114">
        <v>2832</v>
      </c>
      <c r="I85" s="115">
        <v>15115</v>
      </c>
      <c r="J85" s="115">
        <v>15340</v>
      </c>
    </row>
    <row r="86" spans="2:10" x14ac:dyDescent="0.2">
      <c r="B86" s="109" t="s">
        <v>141</v>
      </c>
      <c r="C86" s="114">
        <v>845</v>
      </c>
      <c r="D86" s="114">
        <v>5147</v>
      </c>
      <c r="E86" s="114">
        <v>905</v>
      </c>
      <c r="F86" s="114">
        <v>15016</v>
      </c>
      <c r="G86" s="114">
        <v>2015</v>
      </c>
      <c r="H86" s="114">
        <v>232</v>
      </c>
      <c r="I86" s="115">
        <v>2288</v>
      </c>
      <c r="J86" s="115">
        <v>1751</v>
      </c>
    </row>
    <row r="87" spans="2:10" x14ac:dyDescent="0.2">
      <c r="B87" s="109" t="s">
        <v>142</v>
      </c>
      <c r="C87" s="114">
        <v>7902</v>
      </c>
      <c r="D87" s="114">
        <v>42005</v>
      </c>
      <c r="E87" s="114">
        <v>5639</v>
      </c>
      <c r="F87" s="114">
        <v>175951</v>
      </c>
      <c r="G87" s="114">
        <v>14716</v>
      </c>
      <c r="H87" s="114">
        <v>2626</v>
      </c>
      <c r="I87" s="115">
        <v>15225</v>
      </c>
      <c r="J87" s="115">
        <v>15060</v>
      </c>
    </row>
    <row r="88" spans="2:10" x14ac:dyDescent="0.2">
      <c r="B88" s="109" t="s">
        <v>143</v>
      </c>
      <c r="C88" s="114" t="s">
        <v>49</v>
      </c>
      <c r="D88" s="114" t="s">
        <v>48</v>
      </c>
      <c r="E88" s="114" t="s">
        <v>47</v>
      </c>
      <c r="F88" s="114" t="s">
        <v>45</v>
      </c>
      <c r="G88" s="114" t="s">
        <v>44</v>
      </c>
      <c r="H88" s="114" t="s">
        <v>43</v>
      </c>
      <c r="I88" s="115" t="s">
        <v>51</v>
      </c>
      <c r="J88" s="115" t="s">
        <v>50</v>
      </c>
    </row>
    <row r="89" spans="2:10" x14ac:dyDescent="0.2">
      <c r="B89" s="109" t="s">
        <v>144</v>
      </c>
      <c r="C89" s="116">
        <v>67.5</v>
      </c>
      <c r="D89" s="116">
        <v>476.3</v>
      </c>
      <c r="E89" s="116">
        <v>376.6</v>
      </c>
      <c r="F89" s="116">
        <v>912.9</v>
      </c>
      <c r="G89" s="116">
        <v>635.9</v>
      </c>
      <c r="H89" s="116">
        <v>17.8</v>
      </c>
      <c r="I89" s="117">
        <v>349.4</v>
      </c>
      <c r="J89" s="117">
        <v>95.5</v>
      </c>
    </row>
    <row r="90" spans="2:10" x14ac:dyDescent="0.2">
      <c r="B90" s="109" t="s">
        <v>145</v>
      </c>
      <c r="C90" s="122">
        <v>1731.2</v>
      </c>
      <c r="D90" s="122">
        <v>1669.51</v>
      </c>
      <c r="E90" s="122">
        <v>208.45</v>
      </c>
      <c r="F90" s="122">
        <v>2115.5700000000002</v>
      </c>
      <c r="G90" s="122">
        <v>394.94</v>
      </c>
      <c r="H90" s="122">
        <v>2297.27</v>
      </c>
      <c r="I90" s="123">
        <v>721.96</v>
      </c>
      <c r="J90" s="123">
        <v>2106.86</v>
      </c>
    </row>
    <row r="91" spans="2:10" x14ac:dyDescent="0.2">
      <c r="B91" s="109" t="s">
        <v>146</v>
      </c>
      <c r="C91" s="114" t="s">
        <v>153</v>
      </c>
      <c r="D91" s="114" t="s">
        <v>152</v>
      </c>
      <c r="E91" s="114" t="s">
        <v>151</v>
      </c>
      <c r="F91" s="114" t="s">
        <v>149</v>
      </c>
      <c r="G91" s="114" t="s">
        <v>148</v>
      </c>
      <c r="H91" s="114" t="s">
        <v>147</v>
      </c>
      <c r="I91" s="115" t="s">
        <v>155</v>
      </c>
      <c r="J91" s="115" t="s">
        <v>154</v>
      </c>
    </row>
    <row r="92" spans="2:10" x14ac:dyDescent="0.2">
      <c r="C92" s="114"/>
      <c r="D92" s="114"/>
      <c r="E92" s="114"/>
      <c r="F92" s="114"/>
      <c r="G92" s="114"/>
      <c r="H92" s="114"/>
      <c r="I92" s="115"/>
      <c r="J92" s="115"/>
    </row>
    <row r="93" spans="2:10" x14ac:dyDescent="0.2">
      <c r="B93" s="109" t="s">
        <v>156</v>
      </c>
      <c r="C93" s="114"/>
      <c r="D93" s="114"/>
      <c r="E93" s="114"/>
      <c r="F93" s="114"/>
      <c r="G93" s="114"/>
      <c r="H93" s="114"/>
      <c r="I93" s="115"/>
      <c r="J93" s="115"/>
    </row>
    <row r="94" spans="2:10" x14ac:dyDescent="0.2">
      <c r="C94" s="114"/>
      <c r="D94" s="114"/>
      <c r="E94" s="114"/>
      <c r="F94" s="114"/>
      <c r="G94" s="114"/>
      <c r="H94" s="114"/>
      <c r="I94" s="115"/>
      <c r="J94" s="115"/>
    </row>
    <row r="95" spans="2:10" x14ac:dyDescent="0.2">
      <c r="B95" s="109" t="s">
        <v>157</v>
      </c>
      <c r="C95" s="114"/>
      <c r="D95" s="114"/>
      <c r="E95" s="114"/>
      <c r="F95" s="114"/>
      <c r="G95" s="114"/>
      <c r="H95" s="114"/>
      <c r="I95" s="115"/>
      <c r="J95" s="115"/>
    </row>
    <row r="96" spans="2:10" x14ac:dyDescent="0.2">
      <c r="C96" s="114"/>
      <c r="D96" s="114"/>
      <c r="E96" s="114"/>
      <c r="F96" s="114"/>
      <c r="G96" s="114"/>
      <c r="H96" s="114"/>
      <c r="I96" s="115"/>
      <c r="J96" s="115"/>
    </row>
    <row r="97" spans="2:10" x14ac:dyDescent="0.2">
      <c r="B97" s="109" t="s">
        <v>158</v>
      </c>
      <c r="C97" s="114"/>
      <c r="D97" s="114"/>
      <c r="E97" s="114"/>
      <c r="F97" s="114"/>
      <c r="G97" s="114"/>
      <c r="H97" s="114"/>
      <c r="I97" s="115"/>
      <c r="J97" s="115"/>
    </row>
    <row r="98" spans="2:10" x14ac:dyDescent="0.2">
      <c r="C98" s="114"/>
      <c r="D98" s="114"/>
      <c r="E98" s="114"/>
      <c r="F98" s="114"/>
      <c r="G98" s="114"/>
      <c r="H98" s="114"/>
      <c r="I98" s="115"/>
      <c r="J98" s="115"/>
    </row>
    <row r="99" spans="2:10" x14ac:dyDescent="0.2">
      <c r="B99" s="109" t="s">
        <v>159</v>
      </c>
      <c r="C99" s="114"/>
      <c r="D99" s="114"/>
      <c r="E99" s="114"/>
      <c r="F99" s="114"/>
      <c r="G99" s="114"/>
      <c r="H99" s="114"/>
      <c r="I99" s="115"/>
      <c r="J99" s="115"/>
    </row>
    <row r="100" spans="2:10" x14ac:dyDescent="0.2">
      <c r="B100" s="109" t="s">
        <v>160</v>
      </c>
      <c r="C100" s="114"/>
      <c r="D100" s="114"/>
      <c r="E100" s="114"/>
      <c r="F100" s="114"/>
      <c r="G100" s="114"/>
      <c r="H100" s="114"/>
      <c r="I100" s="115"/>
      <c r="J100" s="115"/>
    </row>
    <row r="101" spans="2:10" x14ac:dyDescent="0.2">
      <c r="B101" s="109" t="s">
        <v>161</v>
      </c>
      <c r="C101" s="114"/>
      <c r="D101" s="114"/>
      <c r="E101" s="114"/>
      <c r="F101" s="114"/>
      <c r="G101" s="114"/>
      <c r="H101" s="114"/>
      <c r="I101" s="115"/>
      <c r="J101" s="115"/>
    </row>
    <row r="102" spans="2:10" x14ac:dyDescent="0.2">
      <c r="C102" s="114"/>
      <c r="D102" s="114"/>
      <c r="E102" s="114"/>
      <c r="F102" s="114"/>
      <c r="G102" s="114"/>
      <c r="H102" s="114"/>
      <c r="I102" s="115"/>
      <c r="J102" s="115"/>
    </row>
    <row r="103" spans="2:10" x14ac:dyDescent="0.2">
      <c r="B103" s="109" t="s">
        <v>162</v>
      </c>
      <c r="C103" s="114"/>
      <c r="D103" s="114"/>
      <c r="E103" s="114"/>
      <c r="F103" s="114"/>
      <c r="G103" s="114"/>
      <c r="H103" s="114"/>
      <c r="I103" s="115"/>
      <c r="J103" s="115"/>
    </row>
    <row r="104" spans="2:10" x14ac:dyDescent="0.2">
      <c r="B104" s="109" t="s">
        <v>163</v>
      </c>
      <c r="C104" s="114"/>
      <c r="D104" s="114"/>
      <c r="E104" s="114"/>
      <c r="F104" s="114"/>
      <c r="G104" s="114"/>
      <c r="H104" s="114"/>
      <c r="I104" s="115"/>
      <c r="J104" s="115"/>
    </row>
    <row r="105" spans="2:10" x14ac:dyDescent="0.2">
      <c r="B105" s="109" t="s">
        <v>164</v>
      </c>
      <c r="C105" s="114"/>
      <c r="D105" s="114"/>
      <c r="E105" s="114"/>
      <c r="F105" s="114"/>
      <c r="G105" s="114"/>
      <c r="H105" s="114"/>
      <c r="I105" s="115"/>
      <c r="J105" s="115"/>
    </row>
    <row r="106" spans="2:10" x14ac:dyDescent="0.2">
      <c r="B106" s="109" t="s">
        <v>165</v>
      </c>
      <c r="C106" s="114"/>
      <c r="D106" s="114"/>
      <c r="E106" s="114"/>
      <c r="F106" s="114"/>
      <c r="G106" s="114"/>
      <c r="H106" s="114"/>
      <c r="I106" s="115"/>
      <c r="J106" s="115"/>
    </row>
    <row r="107" spans="2:10" x14ac:dyDescent="0.2">
      <c r="B107" s="109" t="s">
        <v>166</v>
      </c>
      <c r="C107" s="114"/>
      <c r="D107" s="114"/>
      <c r="E107" s="114"/>
      <c r="F107" s="114"/>
      <c r="G107" s="114"/>
      <c r="H107" s="114"/>
      <c r="I107" s="115"/>
      <c r="J107" s="115"/>
    </row>
    <row r="108" spans="2:10" x14ac:dyDescent="0.2">
      <c r="B108" s="109" t="s">
        <v>167</v>
      </c>
      <c r="C108" s="114"/>
      <c r="D108" s="114"/>
      <c r="E108" s="114"/>
      <c r="F108" s="114"/>
      <c r="G108" s="114"/>
      <c r="H108" s="114"/>
      <c r="I108" s="115"/>
      <c r="J108" s="115"/>
    </row>
    <row r="109" spans="2:10" x14ac:dyDescent="0.2">
      <c r="B109" s="109" t="s">
        <v>168</v>
      </c>
      <c r="C109" s="114"/>
      <c r="D109" s="114"/>
      <c r="E109" s="114"/>
      <c r="F109" s="114"/>
      <c r="G109" s="114"/>
      <c r="H109" s="114"/>
      <c r="I109" s="115"/>
      <c r="J109" s="115"/>
    </row>
    <row r="110" spans="2:10" x14ac:dyDescent="0.2">
      <c r="C110" s="114"/>
      <c r="D110" s="114"/>
      <c r="E110" s="114"/>
      <c r="F110" s="114"/>
      <c r="G110" s="114"/>
      <c r="H110" s="114"/>
      <c r="I110" s="115"/>
      <c r="J110" s="115"/>
    </row>
    <row r="111" spans="2:10" x14ac:dyDescent="0.2">
      <c r="B111" s="109" t="s">
        <v>169</v>
      </c>
      <c r="C111" s="114"/>
      <c r="D111" s="114"/>
      <c r="E111" s="114"/>
      <c r="F111" s="114"/>
      <c r="G111" s="114"/>
      <c r="H111" s="114"/>
      <c r="I111" s="115"/>
      <c r="J111" s="115"/>
    </row>
    <row r="112" spans="2:10" x14ac:dyDescent="0.2">
      <c r="C112" s="114"/>
      <c r="D112" s="114"/>
      <c r="E112" s="114"/>
      <c r="F112" s="114"/>
      <c r="G112" s="114"/>
      <c r="H112" s="114"/>
      <c r="I112" s="115"/>
      <c r="J112" s="115"/>
    </row>
    <row r="113" spans="3:10" x14ac:dyDescent="0.2">
      <c r="C113" s="114"/>
      <c r="D113" s="114"/>
      <c r="E113" s="114"/>
      <c r="F113" s="114"/>
      <c r="G113" s="114"/>
      <c r="H113" s="114"/>
      <c r="I113" s="115"/>
      <c r="J113" s="115"/>
    </row>
    <row r="114" spans="3:10" x14ac:dyDescent="0.2">
      <c r="C114" s="114"/>
      <c r="D114" s="114"/>
      <c r="E114" s="114"/>
      <c r="F114" s="114"/>
      <c r="G114" s="114"/>
      <c r="H114" s="114"/>
      <c r="I114" s="115"/>
      <c r="J114" s="115"/>
    </row>
    <row r="115" spans="3:10" x14ac:dyDescent="0.2">
      <c r="C115" s="114"/>
      <c r="D115" s="114"/>
      <c r="E115" s="114"/>
      <c r="F115" s="114"/>
      <c r="G115" s="114"/>
      <c r="H115" s="114"/>
      <c r="I115" s="115"/>
      <c r="J115" s="115"/>
    </row>
    <row r="116" spans="3:10" x14ac:dyDescent="0.2">
      <c r="C116" s="114"/>
      <c r="D116" s="114"/>
      <c r="E116" s="114"/>
      <c r="F116" s="114"/>
      <c r="G116" s="114"/>
      <c r="H116" s="114"/>
      <c r="I116" s="115"/>
      <c r="J116" s="115"/>
    </row>
    <row r="117" spans="3:10" x14ac:dyDescent="0.2">
      <c r="C117" s="114"/>
      <c r="D117" s="114"/>
      <c r="E117" s="114"/>
      <c r="F117" s="114"/>
      <c r="G117" s="114"/>
      <c r="H117" s="114"/>
      <c r="I117" s="115"/>
      <c r="J117" s="115"/>
    </row>
    <row r="118" spans="3:10" x14ac:dyDescent="0.2">
      <c r="C118" s="114"/>
      <c r="D118" s="114"/>
      <c r="E118" s="114"/>
      <c r="F118" s="114"/>
      <c r="G118" s="114"/>
      <c r="H118" s="114"/>
      <c r="I118" s="115"/>
      <c r="J118" s="115"/>
    </row>
    <row r="119" spans="3:10" x14ac:dyDescent="0.2">
      <c r="C119" s="114"/>
      <c r="D119" s="114"/>
      <c r="E119" s="114"/>
      <c r="F119" s="114"/>
      <c r="G119" s="114"/>
      <c r="H119" s="114"/>
      <c r="I119" s="115"/>
      <c r="J119" s="115"/>
    </row>
    <row r="120" spans="3:10" x14ac:dyDescent="0.2">
      <c r="C120" s="114"/>
      <c r="D120" s="114"/>
      <c r="E120" s="114"/>
      <c r="F120" s="114"/>
      <c r="G120" s="114"/>
      <c r="H120" s="114"/>
      <c r="I120" s="115"/>
      <c r="J120" s="115"/>
    </row>
    <row r="121" spans="3:10" x14ac:dyDescent="0.2">
      <c r="C121" s="114"/>
      <c r="D121" s="114"/>
      <c r="E121" s="114"/>
      <c r="F121" s="114"/>
      <c r="G121" s="114"/>
      <c r="H121" s="114"/>
      <c r="I121" s="115"/>
      <c r="J121" s="11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election activeCell="F20" sqref="F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75" x14ac:dyDescent="0.3">
      <c r="A1" s="3" t="s">
        <v>11</v>
      </c>
    </row>
    <row r="2" spans="1:7" ht="15.75" thickBot="1" x14ac:dyDescent="0.3"/>
    <row r="3" spans="1:7" x14ac:dyDescent="0.25">
      <c r="A3" s="63"/>
      <c r="B3" s="64" t="s">
        <v>15</v>
      </c>
      <c r="C3" s="65" t="s">
        <v>25</v>
      </c>
      <c r="D3" s="69"/>
      <c r="E3" s="67"/>
    </row>
    <row r="4" spans="1:7" x14ac:dyDescent="0.25">
      <c r="A4" s="235" t="s">
        <v>16</v>
      </c>
      <c r="B4" s="237"/>
      <c r="C4" s="38">
        <v>2016</v>
      </c>
      <c r="D4" s="72" t="s">
        <v>40</v>
      </c>
      <c r="E4" s="68"/>
    </row>
    <row r="5" spans="1:7" ht="15.75" thickBot="1" x14ac:dyDescent="0.3">
      <c r="A5" s="238" t="s">
        <v>21</v>
      </c>
      <c r="B5" s="239"/>
      <c r="C5" s="78">
        <f>+F10*'Census Stats for 2016'!M39</f>
        <v>2466653.4993227008</v>
      </c>
      <c r="D5" s="66">
        <f>+D13/C5</f>
        <v>8.2899454688770735</v>
      </c>
    </row>
    <row r="6" spans="1:7" x14ac:dyDescent="0.25">
      <c r="A6" s="6"/>
      <c r="B6" s="6"/>
      <c r="C6" s="23"/>
      <c r="E6" s="22"/>
    </row>
    <row r="7" spans="1:7" ht="19.5" thickBot="1" x14ac:dyDescent="0.35">
      <c r="A7" s="6"/>
      <c r="B7" s="61" t="s">
        <v>36</v>
      </c>
      <c r="C7" s="23"/>
      <c r="E7" s="22"/>
    </row>
    <row r="8" spans="1:7" x14ac:dyDescent="0.25">
      <c r="A8" s="43"/>
      <c r="B8" s="44"/>
      <c r="C8" s="44"/>
      <c r="D8" s="44"/>
      <c r="E8" s="44"/>
      <c r="F8" s="45" t="s">
        <v>20</v>
      </c>
      <c r="G8" s="56" t="s">
        <v>41</v>
      </c>
    </row>
    <row r="9" spans="1:7" x14ac:dyDescent="0.25">
      <c r="A9" s="46"/>
      <c r="B9" s="18"/>
      <c r="C9" s="18"/>
      <c r="D9" s="20" t="s">
        <v>14</v>
      </c>
      <c r="E9" s="32" t="s">
        <v>28</v>
      </c>
      <c r="F9" s="25" t="s">
        <v>35</v>
      </c>
      <c r="G9" s="57" t="s">
        <v>20</v>
      </c>
    </row>
    <row r="10" spans="1:7" x14ac:dyDescent="0.25">
      <c r="A10" s="235" t="s">
        <v>12</v>
      </c>
      <c r="B10" s="236"/>
      <c r="C10" s="237"/>
      <c r="D10" s="128">
        <v>10245326</v>
      </c>
      <c r="E10" s="19">
        <f>+D10/D13</f>
        <v>0.50103257351434871</v>
      </c>
      <c r="F10" s="126">
        <v>984739</v>
      </c>
      <c r="G10" s="58">
        <f>+D10/F10</f>
        <v>10.404103016129147</v>
      </c>
    </row>
    <row r="11" spans="1:7" x14ac:dyDescent="0.25">
      <c r="A11" s="235" t="s">
        <v>17</v>
      </c>
      <c r="B11" s="236"/>
      <c r="C11" s="237"/>
      <c r="D11" s="128">
        <f>83933+8895950</f>
        <v>8979883</v>
      </c>
      <c r="E11" s="19">
        <f>+D11/D13</f>
        <v>0.43914794798601342</v>
      </c>
      <c r="F11" s="127">
        <f>125067+12930</f>
        <v>137997</v>
      </c>
      <c r="G11" s="58">
        <f>+D11/F11</f>
        <v>65.073030573128406</v>
      </c>
    </row>
    <row r="12" spans="1:7" x14ac:dyDescent="0.25">
      <c r="A12" s="235" t="s">
        <v>18</v>
      </c>
      <c r="B12" s="236"/>
      <c r="C12" s="237"/>
      <c r="D12" s="128">
        <v>1223214</v>
      </c>
      <c r="E12" s="19">
        <f>+D12/D13</f>
        <v>5.9819478499637847E-2</v>
      </c>
      <c r="F12" s="6"/>
      <c r="G12" s="47"/>
    </row>
    <row r="13" spans="1:7" ht="15.75" thickBot="1" x14ac:dyDescent="0.3">
      <c r="A13" s="48"/>
      <c r="B13" s="240" t="s">
        <v>13</v>
      </c>
      <c r="C13" s="239"/>
      <c r="D13" s="129">
        <f>SUM(D10:D12)</f>
        <v>20448423</v>
      </c>
      <c r="E13" s="49"/>
      <c r="F13" s="50"/>
      <c r="G13" s="51"/>
    </row>
    <row r="15" spans="1:7" ht="19.5" thickBot="1" x14ac:dyDescent="0.35">
      <c r="B15" s="62" t="s">
        <v>37</v>
      </c>
    </row>
    <row r="16" spans="1:7" x14ac:dyDescent="0.25">
      <c r="A16" s="43"/>
      <c r="B16" s="44"/>
      <c r="C16" s="44"/>
      <c r="D16" s="44"/>
      <c r="E16" s="45" t="s">
        <v>29</v>
      </c>
      <c r="F16" s="52" t="s">
        <v>5</v>
      </c>
      <c r="G16" s="53"/>
    </row>
    <row r="17" spans="1:9" ht="18" x14ac:dyDescent="0.35">
      <c r="A17" s="54"/>
      <c r="B17" s="6"/>
      <c r="C17" s="6"/>
      <c r="D17" s="32" t="s">
        <v>19</v>
      </c>
      <c r="E17" s="25" t="s">
        <v>30</v>
      </c>
      <c r="F17" s="21" t="s">
        <v>8</v>
      </c>
      <c r="G17" s="47"/>
    </row>
    <row r="18" spans="1:9" ht="15.75" thickBot="1" x14ac:dyDescent="0.3">
      <c r="A18" s="235" t="s">
        <v>33</v>
      </c>
      <c r="B18" s="236"/>
      <c r="C18" s="237"/>
      <c r="D18" s="34">
        <f>'2016 Known'!B59</f>
        <v>18455003.524999999</v>
      </c>
      <c r="E18" s="19">
        <f>+D18/(D18+D19)</f>
        <v>0.81583022892926826</v>
      </c>
      <c r="F18" s="10">
        <f>'2016 Known'!D59</f>
        <v>9652377.0914675239</v>
      </c>
      <c r="G18" s="47"/>
    </row>
    <row r="19" spans="1:9" ht="18" x14ac:dyDescent="0.35">
      <c r="A19" s="235" t="s">
        <v>34</v>
      </c>
      <c r="B19" s="236"/>
      <c r="C19" s="237"/>
      <c r="D19" s="108">
        <f>'2016 Unknown'!B162</f>
        <v>4166128.753</v>
      </c>
      <c r="E19" s="60">
        <f>+D19/(D18+D19)</f>
        <v>0.18416977107073174</v>
      </c>
      <c r="F19" s="74">
        <f>'2016 Unknown - Net by'!E82</f>
        <v>1537602.0515614168</v>
      </c>
      <c r="G19" s="76" t="s">
        <v>39</v>
      </c>
    </row>
    <row r="20" spans="1:9" ht="18.75" thickBot="1" x14ac:dyDescent="0.4">
      <c r="A20" s="48"/>
      <c r="B20" s="50"/>
      <c r="C20" s="50"/>
      <c r="D20" s="73">
        <f>+C4</f>
        <v>2016</v>
      </c>
      <c r="E20" s="55" t="s">
        <v>4</v>
      </c>
      <c r="F20" s="75">
        <f>SUM(F18:F19)</f>
        <v>11189979.143028941</v>
      </c>
      <c r="G20" s="77">
        <f>+F20/G22</f>
        <v>1.6109812899836427</v>
      </c>
      <c r="I20" s="106"/>
    </row>
    <row r="22" spans="1:9" ht="18" x14ac:dyDescent="0.35">
      <c r="F22" s="24" t="s">
        <v>27</v>
      </c>
      <c r="G22" s="34">
        <f>+G29</f>
        <v>6946064</v>
      </c>
      <c r="H22" s="31"/>
    </row>
    <row r="24" spans="1:9" x14ac:dyDescent="0.25">
      <c r="E24" s="31" t="s">
        <v>22</v>
      </c>
      <c r="F24" s="26"/>
      <c r="G24" s="26"/>
    </row>
    <row r="25" spans="1:9" x14ac:dyDescent="0.25">
      <c r="E25" s="26"/>
      <c r="F25" s="26"/>
      <c r="G25" s="29" t="s">
        <v>26</v>
      </c>
    </row>
    <row r="26" spans="1:9" ht="18" x14ac:dyDescent="0.35">
      <c r="E26" s="26"/>
      <c r="F26" s="26"/>
      <c r="G26" s="30" t="s">
        <v>3</v>
      </c>
    </row>
    <row r="27" spans="1:9" x14ac:dyDescent="0.25">
      <c r="E27" s="26"/>
      <c r="F27" s="27" t="s">
        <v>23</v>
      </c>
      <c r="G27" s="28">
        <v>1131957</v>
      </c>
    </row>
    <row r="28" spans="1:9" x14ac:dyDescent="0.25">
      <c r="E28" s="26"/>
      <c r="F28" s="27" t="s">
        <v>24</v>
      </c>
      <c r="G28" s="28">
        <v>2399078</v>
      </c>
    </row>
    <row r="29" spans="1:9" x14ac:dyDescent="0.25">
      <c r="E29" s="26"/>
      <c r="F29" s="27" t="s">
        <v>25</v>
      </c>
      <c r="G29" s="28">
        <v>6946064</v>
      </c>
    </row>
    <row r="32" spans="1:9" x14ac:dyDescent="0.25">
      <c r="F32" t="s">
        <v>372</v>
      </c>
    </row>
  </sheetData>
  <mergeCells count="8">
    <mergeCell ref="A18:C18"/>
    <mergeCell ref="A19:C19"/>
    <mergeCell ref="A4:B4"/>
    <mergeCell ref="A5:B5"/>
    <mergeCell ref="A10:C10"/>
    <mergeCell ref="A11:C11"/>
    <mergeCell ref="A12:C12"/>
    <mergeCell ref="B13:C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6" workbookViewId="0">
      <selection activeCell="C72" sqref="C72"/>
    </sheetView>
  </sheetViews>
  <sheetFormatPr defaultRowHeight="15" x14ac:dyDescent="0.25"/>
  <cols>
    <col min="1" max="1" width="47.5703125" customWidth="1"/>
    <col min="2" max="4" width="16.7109375" customWidth="1"/>
    <col min="7" max="7" width="9.7109375" customWidth="1"/>
    <col min="8" max="8" width="10.5703125" customWidth="1"/>
  </cols>
  <sheetData>
    <row r="1" spans="1:6" ht="18.75" x14ac:dyDescent="0.3">
      <c r="A1" s="3" t="s">
        <v>10</v>
      </c>
      <c r="B1" s="95">
        <v>2016</v>
      </c>
      <c r="D1" s="107"/>
    </row>
    <row r="2" spans="1:6" ht="18.75" x14ac:dyDescent="0.3">
      <c r="A2" s="196"/>
      <c r="B2" s="11" t="s">
        <v>31</v>
      </c>
      <c r="C2" s="11"/>
      <c r="D2" s="11" t="s">
        <v>5</v>
      </c>
    </row>
    <row r="3" spans="1:6" ht="19.5" x14ac:dyDescent="0.35">
      <c r="A3" s="197" t="s">
        <v>0</v>
      </c>
      <c r="B3" s="12"/>
      <c r="C3" s="12" t="s">
        <v>7</v>
      </c>
      <c r="D3" s="12" t="s">
        <v>8</v>
      </c>
      <c r="E3" s="2"/>
    </row>
    <row r="4" spans="1:6" x14ac:dyDescent="0.25">
      <c r="A4" s="33" t="s">
        <v>294</v>
      </c>
      <c r="B4" s="34">
        <v>358832.6</v>
      </c>
      <c r="C4" s="34">
        <v>0</v>
      </c>
      <c r="D4" s="10">
        <f>(B4*C4)/2000</f>
        <v>0</v>
      </c>
      <c r="F4" s="104"/>
    </row>
    <row r="5" spans="1:6" x14ac:dyDescent="0.25">
      <c r="A5" s="33" t="s">
        <v>295</v>
      </c>
      <c r="B5" s="34">
        <v>53046.2</v>
      </c>
      <c r="C5" s="34">
        <v>0</v>
      </c>
      <c r="D5" s="10">
        <f t="shared" ref="D5:D58" si="0">(B5*C5)/2000</f>
        <v>0</v>
      </c>
      <c r="F5" s="104"/>
    </row>
    <row r="6" spans="1:6" x14ac:dyDescent="0.25">
      <c r="A6" s="33" t="s">
        <v>296</v>
      </c>
      <c r="B6" s="34">
        <v>152538</v>
      </c>
      <c r="C6" s="34">
        <v>0</v>
      </c>
      <c r="D6" s="10">
        <f t="shared" si="0"/>
        <v>0</v>
      </c>
      <c r="F6" s="104"/>
    </row>
    <row r="7" spans="1:6" x14ac:dyDescent="0.25">
      <c r="A7" s="33" t="s">
        <v>297</v>
      </c>
      <c r="B7" s="34">
        <v>369104.94</v>
      </c>
      <c r="C7" s="34">
        <v>0</v>
      </c>
      <c r="D7" s="10">
        <f t="shared" si="0"/>
        <v>0</v>
      </c>
      <c r="F7" s="104"/>
    </row>
    <row r="8" spans="1:6" x14ac:dyDescent="0.25">
      <c r="A8" s="33" t="s">
        <v>312</v>
      </c>
      <c r="B8" s="34">
        <v>1958039</v>
      </c>
      <c r="C8" s="34">
        <v>2336.8828001621491</v>
      </c>
      <c r="D8" s="10">
        <f t="shared" si="0"/>
        <v>2287853.8305733469</v>
      </c>
      <c r="F8" s="104"/>
    </row>
    <row r="9" spans="1:6" x14ac:dyDescent="0.25">
      <c r="A9" s="33" t="s">
        <v>313</v>
      </c>
      <c r="B9" s="34">
        <v>2571140</v>
      </c>
      <c r="C9" s="34">
        <v>2171.5638265088828</v>
      </c>
      <c r="D9" s="10">
        <f t="shared" si="0"/>
        <v>2791697.3084450243</v>
      </c>
      <c r="F9" s="104"/>
    </row>
    <row r="10" spans="1:6" x14ac:dyDescent="0.25">
      <c r="A10" s="33" t="s">
        <v>299</v>
      </c>
      <c r="B10" s="34">
        <v>212390.3</v>
      </c>
      <c r="C10" s="34">
        <v>1075.436710157667</v>
      </c>
      <c r="D10" s="10">
        <f t="shared" si="0"/>
        <v>114206.16275069996</v>
      </c>
      <c r="F10" s="104"/>
    </row>
    <row r="11" spans="1:6" x14ac:dyDescent="0.25">
      <c r="A11" s="33" t="s">
        <v>300</v>
      </c>
      <c r="B11" s="34">
        <v>741136.76800000004</v>
      </c>
      <c r="C11" s="34">
        <v>1052.3786961958094</v>
      </c>
      <c r="D11" s="10">
        <f t="shared" si="0"/>
        <v>389978.27280530805</v>
      </c>
      <c r="F11" s="104"/>
    </row>
    <row r="12" spans="1:6" x14ac:dyDescent="0.25">
      <c r="A12" s="33" t="s">
        <v>301</v>
      </c>
      <c r="B12" s="34">
        <v>417524.85800000001</v>
      </c>
      <c r="C12" s="34">
        <v>868.74358243637118</v>
      </c>
      <c r="D12" s="10">
        <f t="shared" si="0"/>
        <v>181361.02044757857</v>
      </c>
      <c r="F12" s="104"/>
    </row>
    <row r="13" spans="1:6" x14ac:dyDescent="0.25">
      <c r="A13" s="33" t="s">
        <v>305</v>
      </c>
      <c r="B13" s="34">
        <v>1028475</v>
      </c>
      <c r="C13" s="34">
        <v>825.04107853225662</v>
      </c>
      <c r="D13" s="10">
        <f t="shared" si="0"/>
        <v>424267.06162173132</v>
      </c>
      <c r="F13" s="104"/>
    </row>
    <row r="14" spans="1:6" x14ac:dyDescent="0.25">
      <c r="A14" s="33" t="s">
        <v>308</v>
      </c>
      <c r="B14" s="34">
        <v>1057946.8</v>
      </c>
      <c r="C14" s="34">
        <v>902.32806474225731</v>
      </c>
      <c r="D14" s="10">
        <f t="shared" si="0"/>
        <v>477307.54432213202</v>
      </c>
      <c r="F14" s="104"/>
    </row>
    <row r="15" spans="1:6" x14ac:dyDescent="0.25">
      <c r="A15" s="33" t="s">
        <v>309</v>
      </c>
      <c r="B15" s="34">
        <v>394996.2</v>
      </c>
      <c r="C15" s="34">
        <v>1073.7249160133433</v>
      </c>
      <c r="D15" s="10">
        <f t="shared" si="0"/>
        <v>212058.63083529487</v>
      </c>
      <c r="F15" s="104"/>
    </row>
    <row r="16" spans="1:6" x14ac:dyDescent="0.25">
      <c r="A16" s="33" t="s">
        <v>298</v>
      </c>
      <c r="B16" s="34">
        <v>196.41</v>
      </c>
      <c r="C16" s="34">
        <v>1732.2011450560933</v>
      </c>
      <c r="D16" s="10">
        <f t="shared" si="0"/>
        <v>170.11081345023362</v>
      </c>
      <c r="F16" s="104"/>
    </row>
    <row r="17" spans="1:6" x14ac:dyDescent="0.25">
      <c r="A17" s="33" t="s">
        <v>302</v>
      </c>
      <c r="B17" s="34">
        <v>108950.5</v>
      </c>
      <c r="C17" s="34">
        <v>1751.4121464534605</v>
      </c>
      <c r="D17" s="10">
        <f t="shared" si="0"/>
        <v>95408.614531088868</v>
      </c>
      <c r="F17" s="104"/>
    </row>
    <row r="18" spans="1:6" x14ac:dyDescent="0.25">
      <c r="A18" s="33" t="s">
        <v>303</v>
      </c>
      <c r="B18" s="34">
        <v>136862.6</v>
      </c>
      <c r="C18" s="34">
        <v>1240.2361539035342</v>
      </c>
      <c r="D18" s="10">
        <f t="shared" si="0"/>
        <v>84870.972318618922</v>
      </c>
      <c r="F18" s="104"/>
    </row>
    <row r="19" spans="1:6" x14ac:dyDescent="0.25">
      <c r="A19" s="33" t="s">
        <v>304</v>
      </c>
      <c r="B19" s="34">
        <v>19942.310000000001</v>
      </c>
      <c r="C19" s="34">
        <v>3345.749389215272</v>
      </c>
      <c r="D19" s="10">
        <f t="shared" si="0"/>
        <v>33360.985751020809</v>
      </c>
      <c r="F19" s="104"/>
    </row>
    <row r="20" spans="1:6" x14ac:dyDescent="0.25">
      <c r="A20" s="33" t="s">
        <v>306</v>
      </c>
      <c r="B20" s="34">
        <v>417242.31400000001</v>
      </c>
      <c r="C20" s="34">
        <v>0</v>
      </c>
      <c r="D20" s="10">
        <f t="shared" si="0"/>
        <v>0</v>
      </c>
      <c r="F20" s="104"/>
    </row>
    <row r="21" spans="1:6" x14ac:dyDescent="0.25">
      <c r="A21" s="33" t="s">
        <v>307</v>
      </c>
      <c r="B21" s="34">
        <v>873260.06099999999</v>
      </c>
      <c r="C21" s="34">
        <v>0</v>
      </c>
      <c r="D21" s="10">
        <f t="shared" si="0"/>
        <v>0</v>
      </c>
      <c r="F21" s="104"/>
    </row>
    <row r="22" spans="1:6" x14ac:dyDescent="0.25">
      <c r="A22" s="33" t="s">
        <v>310</v>
      </c>
      <c r="B22" s="34">
        <v>33783.050000000003</v>
      </c>
      <c r="C22" s="34">
        <v>2930.2857219472094</v>
      </c>
      <c r="D22" s="10">
        <f t="shared" si="0"/>
        <v>49496.99452941434</v>
      </c>
      <c r="F22" s="104"/>
    </row>
    <row r="23" spans="1:6" x14ac:dyDescent="0.25">
      <c r="A23" s="33" t="s">
        <v>311</v>
      </c>
      <c r="B23" s="34">
        <v>672199.75300000003</v>
      </c>
      <c r="C23" s="34">
        <v>0</v>
      </c>
      <c r="D23" s="10">
        <f t="shared" si="0"/>
        <v>0</v>
      </c>
      <c r="F23" s="104"/>
    </row>
    <row r="24" spans="1:6" x14ac:dyDescent="0.25">
      <c r="A24" s="33" t="s">
        <v>314</v>
      </c>
      <c r="B24" s="34">
        <v>147.732</v>
      </c>
      <c r="C24" s="34">
        <v>0</v>
      </c>
      <c r="D24" s="10">
        <f t="shared" si="0"/>
        <v>0</v>
      </c>
      <c r="F24" s="104"/>
    </row>
    <row r="25" spans="1:6" x14ac:dyDescent="0.25">
      <c r="A25" s="33" t="s">
        <v>315</v>
      </c>
      <c r="B25" s="34">
        <v>19758.352999999999</v>
      </c>
      <c r="C25" s="34">
        <v>895</v>
      </c>
      <c r="D25" s="10">
        <f t="shared" si="0"/>
        <v>8841.8629674999993</v>
      </c>
      <c r="F25" s="104"/>
    </row>
    <row r="26" spans="1:6" x14ac:dyDescent="0.25">
      <c r="A26" s="33" t="s">
        <v>316</v>
      </c>
      <c r="B26" s="34">
        <v>5.2510000000000003</v>
      </c>
      <c r="C26" s="34">
        <v>0</v>
      </c>
      <c r="D26" s="10">
        <f t="shared" si="0"/>
        <v>0</v>
      </c>
      <c r="F26" s="104"/>
    </row>
    <row r="27" spans="1:6" x14ac:dyDescent="0.25">
      <c r="A27" s="33" t="s">
        <v>317</v>
      </c>
      <c r="B27" s="34">
        <v>12262.769</v>
      </c>
      <c r="C27" s="34">
        <v>0</v>
      </c>
      <c r="D27" s="10">
        <f t="shared" si="0"/>
        <v>0</v>
      </c>
      <c r="F27" s="104"/>
    </row>
    <row r="28" spans="1:6" x14ac:dyDescent="0.25">
      <c r="A28" s="33" t="s">
        <v>175</v>
      </c>
      <c r="B28" s="34">
        <v>7084</v>
      </c>
      <c r="C28" s="34">
        <v>0</v>
      </c>
      <c r="D28" s="10">
        <f t="shared" si="0"/>
        <v>0</v>
      </c>
      <c r="F28" s="104"/>
    </row>
    <row r="29" spans="1:6" x14ac:dyDescent="0.25">
      <c r="A29" s="33" t="s">
        <v>318</v>
      </c>
      <c r="B29" s="34">
        <v>398392</v>
      </c>
      <c r="C29" s="34">
        <v>895</v>
      </c>
      <c r="D29" s="10">
        <f t="shared" si="0"/>
        <v>178280.42</v>
      </c>
      <c r="F29" s="104"/>
    </row>
    <row r="30" spans="1:6" x14ac:dyDescent="0.25">
      <c r="A30" s="33" t="s">
        <v>319</v>
      </c>
      <c r="B30" s="34">
        <v>28.61</v>
      </c>
      <c r="C30" s="34">
        <v>0</v>
      </c>
      <c r="D30" s="10">
        <f t="shared" si="0"/>
        <v>0</v>
      </c>
      <c r="F30" s="104"/>
    </row>
    <row r="31" spans="1:6" x14ac:dyDescent="0.25">
      <c r="A31" s="33" t="s">
        <v>320</v>
      </c>
      <c r="B31" s="34">
        <v>2313083</v>
      </c>
      <c r="C31" s="34">
        <v>0</v>
      </c>
      <c r="D31" s="10">
        <f t="shared" si="0"/>
        <v>0</v>
      </c>
      <c r="F31" s="104"/>
    </row>
    <row r="32" spans="1:6" x14ac:dyDescent="0.25">
      <c r="A32" s="33" t="s">
        <v>321</v>
      </c>
      <c r="B32" s="34">
        <v>-39689</v>
      </c>
      <c r="C32" s="34">
        <v>0</v>
      </c>
      <c r="D32" s="10">
        <f t="shared" si="0"/>
        <v>0</v>
      </c>
      <c r="F32" s="104"/>
    </row>
    <row r="33" spans="1:6" x14ac:dyDescent="0.25">
      <c r="A33" s="33" t="s">
        <v>322</v>
      </c>
      <c r="B33" s="34">
        <v>-82394</v>
      </c>
      <c r="C33" s="34">
        <v>0</v>
      </c>
      <c r="D33" s="10">
        <f t="shared" si="0"/>
        <v>0</v>
      </c>
      <c r="F33" s="104"/>
    </row>
    <row r="34" spans="1:6" x14ac:dyDescent="0.25">
      <c r="A34" s="33" t="s">
        <v>323</v>
      </c>
      <c r="B34" s="34">
        <v>1120584</v>
      </c>
      <c r="C34" s="34">
        <v>0</v>
      </c>
      <c r="D34" s="10">
        <f t="shared" si="0"/>
        <v>0</v>
      </c>
      <c r="F34" s="104"/>
    </row>
    <row r="35" spans="1:6" x14ac:dyDescent="0.25">
      <c r="A35" s="35" t="s">
        <v>324</v>
      </c>
      <c r="B35" s="34">
        <v>4644.826</v>
      </c>
      <c r="C35" s="34">
        <v>0</v>
      </c>
      <c r="D35" s="10">
        <f t="shared" si="0"/>
        <v>0</v>
      </c>
      <c r="F35" s="104"/>
    </row>
    <row r="36" spans="1:6" x14ac:dyDescent="0.25">
      <c r="A36" s="35" t="s">
        <v>325</v>
      </c>
      <c r="B36" s="34">
        <v>4514.4679999999998</v>
      </c>
      <c r="C36" s="34">
        <v>0</v>
      </c>
      <c r="D36" s="10">
        <f t="shared" si="0"/>
        <v>0</v>
      </c>
      <c r="F36" s="104"/>
    </row>
    <row r="37" spans="1:6" x14ac:dyDescent="0.25">
      <c r="A37" s="35" t="s">
        <v>326</v>
      </c>
      <c r="B37" s="34">
        <v>5137.9570000000003</v>
      </c>
      <c r="C37" s="34">
        <v>0</v>
      </c>
      <c r="D37" s="10">
        <f t="shared" si="0"/>
        <v>0</v>
      </c>
      <c r="F37" s="104"/>
    </row>
    <row r="38" spans="1:6" x14ac:dyDescent="0.25">
      <c r="A38" s="35" t="s">
        <v>328</v>
      </c>
      <c r="B38" s="34">
        <v>60243</v>
      </c>
      <c r="C38" s="34">
        <v>0</v>
      </c>
      <c r="D38" s="10">
        <f t="shared" si="0"/>
        <v>0</v>
      </c>
      <c r="F38" s="104"/>
    </row>
    <row r="39" spans="1:6" x14ac:dyDescent="0.25">
      <c r="A39" s="35" t="s">
        <v>330</v>
      </c>
      <c r="B39" s="34">
        <v>59.14</v>
      </c>
      <c r="C39" s="34">
        <v>0</v>
      </c>
      <c r="D39" s="10">
        <f t="shared" si="0"/>
        <v>0</v>
      </c>
      <c r="F39" s="104"/>
    </row>
    <row r="40" spans="1:6" x14ac:dyDescent="0.25">
      <c r="A40" s="35" t="s">
        <v>331</v>
      </c>
      <c r="B40" s="34">
        <v>200</v>
      </c>
      <c r="C40" s="34">
        <v>807.0783351867201</v>
      </c>
      <c r="D40" s="10">
        <f t="shared" si="0"/>
        <v>80.707833518672004</v>
      </c>
      <c r="F40" s="104"/>
    </row>
    <row r="41" spans="1:6" x14ac:dyDescent="0.25">
      <c r="A41" s="35" t="s">
        <v>332</v>
      </c>
      <c r="B41" s="34">
        <v>126694</v>
      </c>
      <c r="C41" s="34">
        <v>0</v>
      </c>
      <c r="D41" s="10">
        <f t="shared" si="0"/>
        <v>0</v>
      </c>
      <c r="F41" s="104"/>
    </row>
    <row r="42" spans="1:6" x14ac:dyDescent="0.25">
      <c r="A42" s="35" t="s">
        <v>333</v>
      </c>
      <c r="B42" s="34">
        <v>128.57599999999999</v>
      </c>
      <c r="C42" s="34">
        <v>0</v>
      </c>
      <c r="D42" s="10">
        <f t="shared" si="0"/>
        <v>0</v>
      </c>
      <c r="F42" s="104"/>
    </row>
    <row r="43" spans="1:6" x14ac:dyDescent="0.25">
      <c r="A43" s="35" t="s">
        <v>336</v>
      </c>
      <c r="B43" s="34">
        <v>4372.0810000000001</v>
      </c>
      <c r="C43" s="34">
        <v>0</v>
      </c>
      <c r="D43" s="10">
        <f t="shared" si="0"/>
        <v>0</v>
      </c>
      <c r="F43" s="104"/>
    </row>
    <row r="44" spans="1:6" x14ac:dyDescent="0.25">
      <c r="A44" s="35" t="s">
        <v>337</v>
      </c>
      <c r="B44" s="34">
        <v>4450.1899999999996</v>
      </c>
      <c r="C44" s="34">
        <v>0</v>
      </c>
      <c r="D44" s="10">
        <f t="shared" si="0"/>
        <v>0</v>
      </c>
      <c r="F44" s="104"/>
    </row>
    <row r="45" spans="1:6" x14ac:dyDescent="0.25">
      <c r="A45" s="35" t="s">
        <v>338</v>
      </c>
      <c r="B45" s="34">
        <v>193.251</v>
      </c>
      <c r="C45" s="34">
        <v>0</v>
      </c>
      <c r="D45" s="10">
        <f t="shared" si="0"/>
        <v>0</v>
      </c>
      <c r="F45" s="104"/>
    </row>
    <row r="46" spans="1:6" x14ac:dyDescent="0.25">
      <c r="A46" s="35" t="s">
        <v>340</v>
      </c>
      <c r="B46" s="34">
        <v>11177.98</v>
      </c>
      <c r="C46" s="34">
        <v>0</v>
      </c>
      <c r="D46" s="10">
        <f t="shared" si="0"/>
        <v>0</v>
      </c>
      <c r="F46" s="104"/>
    </row>
    <row r="47" spans="1:6" x14ac:dyDescent="0.25">
      <c r="A47" s="35" t="s">
        <v>341</v>
      </c>
      <c r="B47" s="34">
        <v>1568805</v>
      </c>
      <c r="C47" s="34">
        <v>2411.0775219632751</v>
      </c>
      <c r="D47" s="10">
        <f t="shared" si="0"/>
        <v>1891255.235921798</v>
      </c>
      <c r="F47" s="104"/>
    </row>
    <row r="48" spans="1:6" x14ac:dyDescent="0.25">
      <c r="A48" s="35" t="s">
        <v>342</v>
      </c>
      <c r="B48" s="34">
        <v>3115.201</v>
      </c>
      <c r="C48" s="34">
        <v>0</v>
      </c>
      <c r="D48" s="10">
        <f t="shared" si="0"/>
        <v>0</v>
      </c>
      <c r="F48" s="104"/>
    </row>
    <row r="49" spans="1:6" x14ac:dyDescent="0.25">
      <c r="A49" s="35" t="s">
        <v>343</v>
      </c>
      <c r="B49" s="34">
        <v>3277.547</v>
      </c>
      <c r="C49" s="34">
        <v>0</v>
      </c>
      <c r="D49" s="10">
        <f t="shared" si="0"/>
        <v>0</v>
      </c>
      <c r="F49" s="104"/>
    </row>
    <row r="50" spans="1:6" x14ac:dyDescent="0.25">
      <c r="A50" s="35" t="s">
        <v>346</v>
      </c>
      <c r="B50" s="34">
        <v>166693.777</v>
      </c>
      <c r="C50" s="34">
        <v>0</v>
      </c>
      <c r="D50" s="10">
        <f t="shared" si="0"/>
        <v>0</v>
      </c>
      <c r="F50" s="104"/>
    </row>
    <row r="51" spans="1:6" x14ac:dyDescent="0.25">
      <c r="A51" s="35" t="s">
        <v>347</v>
      </c>
      <c r="B51" s="34">
        <v>36724.080999999998</v>
      </c>
      <c r="C51" s="34">
        <v>0</v>
      </c>
      <c r="D51" s="10">
        <f t="shared" si="0"/>
        <v>0</v>
      </c>
      <c r="F51" s="104"/>
    </row>
    <row r="52" spans="1:6" x14ac:dyDescent="0.25">
      <c r="A52" s="35" t="s">
        <v>349</v>
      </c>
      <c r="B52" s="34">
        <v>46042.635999999999</v>
      </c>
      <c r="C52" s="34">
        <v>0</v>
      </c>
      <c r="D52" s="10">
        <f t="shared" si="0"/>
        <v>0</v>
      </c>
      <c r="F52" s="104"/>
    </row>
    <row r="53" spans="1:6" x14ac:dyDescent="0.25">
      <c r="A53" s="35" t="s">
        <v>350</v>
      </c>
      <c r="B53" s="34">
        <v>292.56</v>
      </c>
      <c r="C53" s="34">
        <v>0</v>
      </c>
      <c r="D53" s="10">
        <f t="shared" si="0"/>
        <v>0</v>
      </c>
      <c r="F53" s="104"/>
    </row>
    <row r="54" spans="1:6" x14ac:dyDescent="0.25">
      <c r="A54" s="35" t="s">
        <v>352</v>
      </c>
      <c r="B54" s="34">
        <v>24374.06</v>
      </c>
      <c r="C54" s="34">
        <v>0</v>
      </c>
      <c r="D54" s="10">
        <f t="shared" si="0"/>
        <v>0</v>
      </c>
      <c r="F54" s="104"/>
    </row>
    <row r="55" spans="1:6" x14ac:dyDescent="0.25">
      <c r="A55" s="35" t="s">
        <v>356</v>
      </c>
      <c r="B55" s="34">
        <v>907.41</v>
      </c>
      <c r="C55" s="34">
        <v>0</v>
      </c>
      <c r="D55" s="10">
        <f t="shared" si="0"/>
        <v>0</v>
      </c>
      <c r="F55" s="104"/>
    </row>
    <row r="56" spans="1:6" x14ac:dyDescent="0.25">
      <c r="A56" s="35" t="s">
        <v>357</v>
      </c>
      <c r="B56" s="34">
        <v>79876.214000000007</v>
      </c>
      <c r="C56" s="34">
        <v>0</v>
      </c>
      <c r="D56" s="10">
        <f t="shared" si="0"/>
        <v>0</v>
      </c>
      <c r="F56" s="104"/>
    </row>
    <row r="57" spans="1:6" x14ac:dyDescent="0.25">
      <c r="A57" s="35" t="s">
        <v>358</v>
      </c>
      <c r="B57" s="34">
        <v>11111.191000000001</v>
      </c>
      <c r="C57" s="34">
        <v>0</v>
      </c>
      <c r="D57" s="10">
        <f t="shared" si="0"/>
        <v>0</v>
      </c>
      <c r="F57" s="104"/>
    </row>
    <row r="58" spans="1:6" x14ac:dyDescent="0.25">
      <c r="A58" s="35" t="s">
        <v>373</v>
      </c>
      <c r="B58" s="34">
        <v>965098</v>
      </c>
      <c r="C58" s="34">
        <v>895</v>
      </c>
      <c r="D58" s="10">
        <f t="shared" si="0"/>
        <v>431881.35499999998</v>
      </c>
      <c r="F58" s="104"/>
    </row>
    <row r="59" spans="1:6" x14ac:dyDescent="0.25">
      <c r="A59" s="1"/>
      <c r="B59" s="198">
        <f>SUM(B4:B58)</f>
        <v>18455003.524999999</v>
      </c>
      <c r="C59" s="6"/>
      <c r="D59" s="199">
        <f>SUM(D4:D58)</f>
        <v>9652377.0914675239</v>
      </c>
      <c r="E59" s="6"/>
      <c r="F59" s="200"/>
    </row>
    <row r="60" spans="1:6" x14ac:dyDescent="0.25">
      <c r="B60" s="6"/>
      <c r="C60" s="6"/>
      <c r="D60" s="6"/>
      <c r="E60" s="6"/>
      <c r="F60" s="6"/>
    </row>
    <row r="61" spans="1:6" x14ac:dyDescent="0.25">
      <c r="B61" s="6"/>
      <c r="C61" s="6"/>
      <c r="D61" s="6"/>
      <c r="E61" s="6"/>
      <c r="F61" s="6"/>
    </row>
    <row r="62" spans="1:6" x14ac:dyDescent="0.25">
      <c r="B62" s="6"/>
      <c r="C62" s="6"/>
      <c r="D62" s="6"/>
      <c r="E62" s="6"/>
      <c r="F62"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3"/>
  <sheetViews>
    <sheetView workbookViewId="0">
      <selection activeCell="I2" sqref="I2"/>
    </sheetView>
  </sheetViews>
  <sheetFormatPr defaultRowHeight="15" x14ac:dyDescent="0.25"/>
  <cols>
    <col min="1" max="1" width="9.140625" style="143"/>
    <col min="2" max="2" width="46.140625" style="143" customWidth="1"/>
    <col min="3" max="3" width="13.7109375" style="143" customWidth="1"/>
    <col min="4" max="4" width="12.5703125" style="143" customWidth="1"/>
    <col min="5" max="5" width="13.5703125" style="143" customWidth="1"/>
    <col min="6" max="6" width="9.140625" style="143"/>
    <col min="7" max="8" width="21.85546875" style="143" customWidth="1"/>
    <col min="9" max="9" width="12.28515625" style="149" customWidth="1"/>
    <col min="10" max="10" width="16.7109375" style="143" customWidth="1"/>
    <col min="11" max="16384" width="9.140625" style="143"/>
  </cols>
  <sheetData>
    <row r="2" spans="2:10" ht="25.5" customHeight="1" x14ac:dyDescent="0.25">
      <c r="B2" s="171" t="s">
        <v>481</v>
      </c>
      <c r="C2" s="179"/>
      <c r="D2" s="146"/>
      <c r="E2" s="146"/>
      <c r="F2" s="146"/>
      <c r="G2" s="180" t="s">
        <v>2</v>
      </c>
      <c r="H2" s="146"/>
      <c r="I2" s="176">
        <v>895</v>
      </c>
      <c r="J2" s="146" t="s">
        <v>6</v>
      </c>
    </row>
    <row r="3" spans="2:10" ht="26.25" customHeight="1" x14ac:dyDescent="0.25">
      <c r="B3" s="233" t="s">
        <v>0</v>
      </c>
      <c r="C3" s="228" t="s">
        <v>478</v>
      </c>
      <c r="D3" s="228" t="s">
        <v>480</v>
      </c>
      <c r="E3" s="228" t="s">
        <v>479</v>
      </c>
      <c r="F3" s="149"/>
      <c r="G3" s="168" t="s">
        <v>9</v>
      </c>
      <c r="H3" s="169">
        <v>2016</v>
      </c>
      <c r="I3" s="177"/>
    </row>
    <row r="4" spans="2:10" ht="26.25" customHeight="1" x14ac:dyDescent="0.25">
      <c r="B4" s="234"/>
      <c r="C4" s="232"/>
      <c r="D4" s="232"/>
      <c r="E4" s="232"/>
      <c r="F4" s="155"/>
      <c r="I4" s="178"/>
    </row>
    <row r="5" spans="2:10" ht="26.25" customHeight="1" x14ac:dyDescent="0.25">
      <c r="B5" s="223" t="s">
        <v>476</v>
      </c>
      <c r="C5" s="224"/>
      <c r="D5" s="224"/>
      <c r="E5" s="225"/>
      <c r="I5" s="178"/>
    </row>
    <row r="6" spans="2:10" ht="15" customHeight="1" x14ac:dyDescent="0.25">
      <c r="B6" s="145" t="s">
        <v>194</v>
      </c>
      <c r="C6" s="151">
        <v>33590</v>
      </c>
      <c r="D6" s="174">
        <f>IF(C6&gt;0,$I$2,$I$11)</f>
        <v>895</v>
      </c>
      <c r="E6" s="175">
        <f t="shared" ref="E6:E69" si="0">(+C6*D6)/2000</f>
        <v>15031.525</v>
      </c>
      <c r="I6" s="178"/>
    </row>
    <row r="7" spans="2:10" ht="15" customHeight="1" x14ac:dyDescent="0.25">
      <c r="B7" s="145" t="s">
        <v>173</v>
      </c>
      <c r="C7" s="151">
        <v>21796.48</v>
      </c>
      <c r="D7" s="174">
        <f t="shared" ref="D7:D70" si="1">IF(C7&gt;0,$I$2,$I$11)</f>
        <v>895</v>
      </c>
      <c r="E7" s="175">
        <f t="shared" si="0"/>
        <v>9753.9247999999989</v>
      </c>
      <c r="I7" s="178"/>
    </row>
    <row r="8" spans="2:10" ht="15" customHeight="1" x14ac:dyDescent="0.25">
      <c r="B8" s="145" t="s">
        <v>198</v>
      </c>
      <c r="C8" s="151">
        <v>201</v>
      </c>
      <c r="D8" s="174">
        <f t="shared" si="1"/>
        <v>895</v>
      </c>
      <c r="E8" s="175">
        <f t="shared" si="0"/>
        <v>89.947500000000005</v>
      </c>
      <c r="F8" s="149"/>
      <c r="I8" s="178"/>
    </row>
    <row r="9" spans="2:10" ht="15" customHeight="1" x14ac:dyDescent="0.25">
      <c r="B9" s="145" t="s">
        <v>200</v>
      </c>
      <c r="C9" s="151">
        <v>2580</v>
      </c>
      <c r="D9" s="174">
        <f t="shared" si="1"/>
        <v>895</v>
      </c>
      <c r="E9" s="175">
        <f t="shared" si="0"/>
        <v>1154.55</v>
      </c>
      <c r="F9" s="155"/>
      <c r="H9" s="147" t="s">
        <v>483</v>
      </c>
      <c r="I9" s="176">
        <f>'2016 Known'!B59</f>
        <v>18455003.524999999</v>
      </c>
      <c r="J9" s="143" t="s">
        <v>456</v>
      </c>
    </row>
    <row r="10" spans="2:10" ht="15" customHeight="1" x14ac:dyDescent="0.25">
      <c r="B10" s="145" t="s">
        <v>201</v>
      </c>
      <c r="C10" s="151">
        <v>215742</v>
      </c>
      <c r="D10" s="174">
        <f t="shared" si="1"/>
        <v>895</v>
      </c>
      <c r="E10" s="175">
        <f t="shared" si="0"/>
        <v>96544.544999999998</v>
      </c>
      <c r="G10" s="144"/>
      <c r="H10" s="147" t="s">
        <v>484</v>
      </c>
      <c r="I10" s="176">
        <f>'2016 Known'!D59</f>
        <v>9652377.0914675239</v>
      </c>
      <c r="J10" s="143" t="s">
        <v>457</v>
      </c>
    </row>
    <row r="11" spans="2:10" ht="15" customHeight="1" x14ac:dyDescent="0.25">
      <c r="B11" s="145" t="s">
        <v>175</v>
      </c>
      <c r="C11" s="151">
        <v>258423</v>
      </c>
      <c r="D11" s="174">
        <f t="shared" si="1"/>
        <v>895</v>
      </c>
      <c r="E11" s="175">
        <f t="shared" si="0"/>
        <v>115644.2925</v>
      </c>
      <c r="H11" s="147" t="s">
        <v>485</v>
      </c>
      <c r="I11" s="176">
        <f>(I10*2000)/I9</f>
        <v>1046.0444592591889</v>
      </c>
      <c r="J11" s="143" t="s">
        <v>6</v>
      </c>
    </row>
    <row r="12" spans="2:10" ht="15" customHeight="1" x14ac:dyDescent="0.25">
      <c r="B12" s="145" t="s">
        <v>381</v>
      </c>
      <c r="C12" s="151">
        <v>1952.7380000000001</v>
      </c>
      <c r="D12" s="174">
        <f t="shared" si="1"/>
        <v>895</v>
      </c>
      <c r="E12" s="175">
        <f t="shared" si="0"/>
        <v>873.85025500000006</v>
      </c>
      <c r="G12" s="168" t="s">
        <v>9</v>
      </c>
      <c r="H12" s="169">
        <v>2016</v>
      </c>
      <c r="I12" s="177"/>
    </row>
    <row r="13" spans="2:10" ht="15" customHeight="1" x14ac:dyDescent="0.25">
      <c r="B13" s="145" t="s">
        <v>374</v>
      </c>
      <c r="C13" s="151">
        <v>-159</v>
      </c>
      <c r="D13" s="174">
        <f t="shared" si="1"/>
        <v>1046.0444592591889</v>
      </c>
      <c r="E13" s="175">
        <f t="shared" si="0"/>
        <v>-83.160534511105524</v>
      </c>
    </row>
    <row r="14" spans="2:10" x14ac:dyDescent="0.25">
      <c r="B14" s="145" t="s">
        <v>382</v>
      </c>
      <c r="C14" s="151">
        <v>39252</v>
      </c>
      <c r="D14" s="174">
        <f t="shared" si="1"/>
        <v>895</v>
      </c>
      <c r="E14" s="175">
        <f t="shared" si="0"/>
        <v>17565.27</v>
      </c>
    </row>
    <row r="15" spans="2:10" x14ac:dyDescent="0.25">
      <c r="B15" s="145" t="s">
        <v>383</v>
      </c>
      <c r="C15" s="151">
        <v>5037220.18</v>
      </c>
      <c r="D15" s="174">
        <f t="shared" si="1"/>
        <v>895</v>
      </c>
      <c r="E15" s="175">
        <f t="shared" si="0"/>
        <v>2254156.0305499998</v>
      </c>
    </row>
    <row r="16" spans="2:10" x14ac:dyDescent="0.25">
      <c r="B16" s="145" t="s">
        <v>384</v>
      </c>
      <c r="C16" s="151">
        <v>194</v>
      </c>
      <c r="D16" s="174">
        <f t="shared" si="1"/>
        <v>895</v>
      </c>
      <c r="E16" s="175">
        <f t="shared" si="0"/>
        <v>86.814999999999998</v>
      </c>
    </row>
    <row r="17" spans="2:5" s="143" customFormat="1" x14ac:dyDescent="0.25">
      <c r="B17" s="145" t="s">
        <v>202</v>
      </c>
      <c r="C17" s="151">
        <v>15</v>
      </c>
      <c r="D17" s="174">
        <f t="shared" si="1"/>
        <v>895</v>
      </c>
      <c r="E17" s="175">
        <f t="shared" si="0"/>
        <v>6.7125000000000004</v>
      </c>
    </row>
    <row r="18" spans="2:5" s="143" customFormat="1" x14ac:dyDescent="0.25">
      <c r="B18" s="145" t="s">
        <v>205</v>
      </c>
      <c r="C18" s="151">
        <v>-39390.894</v>
      </c>
      <c r="D18" s="174">
        <f t="shared" si="1"/>
        <v>1046.0444592591889</v>
      </c>
      <c r="E18" s="175">
        <f t="shared" si="0"/>
        <v>-20602.313206983014</v>
      </c>
    </row>
    <row r="19" spans="2:5" s="143" customFormat="1" x14ac:dyDescent="0.25">
      <c r="B19" s="145" t="s">
        <v>376</v>
      </c>
      <c r="C19" s="151">
        <v>17560.87</v>
      </c>
      <c r="D19" s="174">
        <f t="shared" si="1"/>
        <v>895</v>
      </c>
      <c r="E19" s="175">
        <f t="shared" si="0"/>
        <v>7858.4893249999996</v>
      </c>
    </row>
    <row r="20" spans="2:5" s="143" customFormat="1" x14ac:dyDescent="0.25">
      <c r="B20" s="145" t="s">
        <v>206</v>
      </c>
      <c r="C20" s="151">
        <v>33095</v>
      </c>
      <c r="D20" s="174">
        <f t="shared" si="1"/>
        <v>895</v>
      </c>
      <c r="E20" s="175">
        <f t="shared" si="0"/>
        <v>14810.012500000001</v>
      </c>
    </row>
    <row r="21" spans="2:5" s="143" customFormat="1" x14ac:dyDescent="0.25">
      <c r="B21" s="145" t="s">
        <v>207</v>
      </c>
      <c r="C21" s="151">
        <v>-29780</v>
      </c>
      <c r="D21" s="174">
        <f t="shared" si="1"/>
        <v>1046.0444592591889</v>
      </c>
      <c r="E21" s="175">
        <f t="shared" si="0"/>
        <v>-15575.601998369322</v>
      </c>
    </row>
    <row r="22" spans="2:5" s="143" customFormat="1" x14ac:dyDescent="0.25">
      <c r="B22" s="145" t="s">
        <v>176</v>
      </c>
      <c r="C22" s="151">
        <v>470528</v>
      </c>
      <c r="D22" s="174">
        <f t="shared" si="1"/>
        <v>895</v>
      </c>
      <c r="E22" s="175">
        <f t="shared" si="0"/>
        <v>210561.28</v>
      </c>
    </row>
    <row r="23" spans="2:5" s="143" customFormat="1" x14ac:dyDescent="0.25">
      <c r="B23" s="145" t="s">
        <v>208</v>
      </c>
      <c r="C23" s="151">
        <v>62405</v>
      </c>
      <c r="D23" s="174">
        <f t="shared" si="1"/>
        <v>895</v>
      </c>
      <c r="E23" s="175">
        <f t="shared" si="0"/>
        <v>27926.237499999999</v>
      </c>
    </row>
    <row r="24" spans="2:5" s="143" customFormat="1" x14ac:dyDescent="0.25">
      <c r="B24" s="145" t="s">
        <v>189</v>
      </c>
      <c r="C24" s="151">
        <v>122525</v>
      </c>
      <c r="D24" s="174">
        <f t="shared" si="1"/>
        <v>895</v>
      </c>
      <c r="E24" s="175">
        <f t="shared" si="0"/>
        <v>54829.9375</v>
      </c>
    </row>
    <row r="25" spans="2:5" s="143" customFormat="1" x14ac:dyDescent="0.25">
      <c r="B25" s="145" t="s">
        <v>212</v>
      </c>
      <c r="C25" s="151">
        <v>157</v>
      </c>
      <c r="D25" s="174">
        <f t="shared" si="1"/>
        <v>895</v>
      </c>
      <c r="E25" s="175">
        <f t="shared" si="0"/>
        <v>70.257499999999993</v>
      </c>
    </row>
    <row r="26" spans="2:5" s="143" customFormat="1" x14ac:dyDescent="0.25">
      <c r="B26" s="145" t="s">
        <v>213</v>
      </c>
      <c r="C26" s="151">
        <v>1009</v>
      </c>
      <c r="D26" s="174">
        <f t="shared" si="1"/>
        <v>895</v>
      </c>
      <c r="E26" s="175">
        <f t="shared" si="0"/>
        <v>451.52749999999997</v>
      </c>
    </row>
    <row r="27" spans="2:5" s="143" customFormat="1" x14ac:dyDescent="0.25">
      <c r="B27" s="145" t="s">
        <v>377</v>
      </c>
      <c r="C27" s="151">
        <v>-22440.600999999999</v>
      </c>
      <c r="D27" s="174">
        <f t="shared" si="1"/>
        <v>1046.0444592591889</v>
      </c>
      <c r="E27" s="175">
        <f t="shared" si="0"/>
        <v>-11736.933169248106</v>
      </c>
    </row>
    <row r="28" spans="2:5" s="143" customFormat="1" x14ac:dyDescent="0.25">
      <c r="B28" s="145" t="s">
        <v>214</v>
      </c>
      <c r="C28" s="151">
        <v>-3825</v>
      </c>
      <c r="D28" s="174">
        <f t="shared" si="1"/>
        <v>1046.0444592591889</v>
      </c>
      <c r="E28" s="175">
        <f t="shared" si="0"/>
        <v>-2000.5600283331987</v>
      </c>
    </row>
    <row r="29" spans="2:5" s="143" customFormat="1" x14ac:dyDescent="0.25">
      <c r="B29" s="145" t="s">
        <v>177</v>
      </c>
      <c r="C29" s="151">
        <v>-7</v>
      </c>
      <c r="D29" s="174">
        <f t="shared" si="1"/>
        <v>1046.0444592591889</v>
      </c>
      <c r="E29" s="175">
        <f t="shared" si="0"/>
        <v>-3.6611556074071614</v>
      </c>
    </row>
    <row r="30" spans="2:5" s="143" customFormat="1" x14ac:dyDescent="0.25">
      <c r="B30" s="145" t="s">
        <v>215</v>
      </c>
      <c r="C30" s="151">
        <v>-1642</v>
      </c>
      <c r="D30" s="174">
        <f t="shared" si="1"/>
        <v>1046.0444592591889</v>
      </c>
      <c r="E30" s="175">
        <f t="shared" si="0"/>
        <v>-858.80250105179402</v>
      </c>
    </row>
    <row r="31" spans="2:5" s="143" customFormat="1" x14ac:dyDescent="0.25">
      <c r="B31" s="145" t="s">
        <v>178</v>
      </c>
      <c r="C31" s="151">
        <v>18141.771000000001</v>
      </c>
      <c r="D31" s="174">
        <f t="shared" si="1"/>
        <v>895</v>
      </c>
      <c r="E31" s="175">
        <f t="shared" si="0"/>
        <v>8118.4425224999995</v>
      </c>
    </row>
    <row r="32" spans="2:5" s="143" customFormat="1" x14ac:dyDescent="0.25">
      <c r="B32" s="145" t="s">
        <v>179</v>
      </c>
      <c r="C32" s="151">
        <v>279149</v>
      </c>
      <c r="D32" s="174">
        <f t="shared" si="1"/>
        <v>895</v>
      </c>
      <c r="E32" s="175">
        <f t="shared" si="0"/>
        <v>124919.17750000001</v>
      </c>
    </row>
    <row r="33" spans="2:5" s="143" customFormat="1" x14ac:dyDescent="0.25">
      <c r="B33" s="145" t="s">
        <v>219</v>
      </c>
      <c r="C33" s="151">
        <v>-287573</v>
      </c>
      <c r="D33" s="174">
        <f t="shared" si="1"/>
        <v>1046.0444592591889</v>
      </c>
      <c r="E33" s="175">
        <f t="shared" si="0"/>
        <v>-150407.07164127135</v>
      </c>
    </row>
    <row r="34" spans="2:5" s="143" customFormat="1" x14ac:dyDescent="0.25">
      <c r="B34" s="145" t="s">
        <v>299</v>
      </c>
      <c r="C34" s="151">
        <v>-321.65099999999984</v>
      </c>
      <c r="D34" s="174">
        <f t="shared" si="1"/>
        <v>1046.0444592591889</v>
      </c>
      <c r="E34" s="175">
        <f t="shared" si="0"/>
        <v>-168.2306231825886</v>
      </c>
    </row>
    <row r="35" spans="2:5" s="143" customFormat="1" x14ac:dyDescent="0.25">
      <c r="B35" s="145" t="s">
        <v>223</v>
      </c>
      <c r="C35" s="151">
        <v>-42733</v>
      </c>
      <c r="D35" s="174">
        <f t="shared" si="1"/>
        <v>1046.0444592591889</v>
      </c>
      <c r="E35" s="175">
        <f t="shared" si="0"/>
        <v>-22350.308938761456</v>
      </c>
    </row>
    <row r="36" spans="2:5" s="143" customFormat="1" x14ac:dyDescent="0.25">
      <c r="B36" s="145" t="s">
        <v>190</v>
      </c>
      <c r="C36" s="151">
        <v>80290</v>
      </c>
      <c r="D36" s="174">
        <f t="shared" si="1"/>
        <v>895</v>
      </c>
      <c r="E36" s="175">
        <f t="shared" si="0"/>
        <v>35929.775000000001</v>
      </c>
    </row>
    <row r="37" spans="2:5" s="143" customFormat="1" x14ac:dyDescent="0.25">
      <c r="B37" s="145" t="s">
        <v>300</v>
      </c>
      <c r="C37" s="151">
        <v>1025.3830000000016</v>
      </c>
      <c r="D37" s="174">
        <f t="shared" si="1"/>
        <v>895</v>
      </c>
      <c r="E37" s="175">
        <f t="shared" si="0"/>
        <v>458.85889250000071</v>
      </c>
    </row>
    <row r="38" spans="2:5" s="143" customFormat="1" x14ac:dyDescent="0.25">
      <c r="B38" s="145" t="s">
        <v>301</v>
      </c>
      <c r="C38" s="151">
        <v>-2196.0230000000001</v>
      </c>
      <c r="D38" s="174">
        <f t="shared" si="1"/>
        <v>1046.0444592591889</v>
      </c>
      <c r="E38" s="175">
        <f t="shared" si="0"/>
        <v>-1148.5688457778708</v>
      </c>
    </row>
    <row r="39" spans="2:5" s="143" customFormat="1" x14ac:dyDescent="0.25">
      <c r="B39" s="145" t="s">
        <v>378</v>
      </c>
      <c r="C39" s="151">
        <v>1209.79</v>
      </c>
      <c r="D39" s="174">
        <f t="shared" si="1"/>
        <v>895</v>
      </c>
      <c r="E39" s="175">
        <f t="shared" si="0"/>
        <v>541.38102500000002</v>
      </c>
    </row>
    <row r="40" spans="2:5" s="143" customFormat="1" x14ac:dyDescent="0.25">
      <c r="B40" s="145" t="s">
        <v>304</v>
      </c>
      <c r="C40" s="151">
        <v>690.89700000000005</v>
      </c>
      <c r="D40" s="174">
        <f t="shared" si="1"/>
        <v>895</v>
      </c>
      <c r="E40" s="175">
        <f t="shared" si="0"/>
        <v>309.17640750000004</v>
      </c>
    </row>
    <row r="41" spans="2:5" s="143" customFormat="1" x14ac:dyDescent="0.25">
      <c r="B41" s="145" t="s">
        <v>305</v>
      </c>
      <c r="C41" s="151">
        <v>25209.396000000001</v>
      </c>
      <c r="D41" s="174">
        <f t="shared" si="1"/>
        <v>895</v>
      </c>
      <c r="E41" s="175">
        <f t="shared" si="0"/>
        <v>11281.204710000002</v>
      </c>
    </row>
    <row r="42" spans="2:5" s="143" customFormat="1" x14ac:dyDescent="0.25">
      <c r="B42" s="145" t="s">
        <v>226</v>
      </c>
      <c r="C42" s="151">
        <v>20</v>
      </c>
      <c r="D42" s="174">
        <f t="shared" si="1"/>
        <v>895</v>
      </c>
      <c r="E42" s="175">
        <f t="shared" si="0"/>
        <v>8.9499999999999993</v>
      </c>
    </row>
    <row r="43" spans="2:5" s="143" customFormat="1" x14ac:dyDescent="0.25">
      <c r="B43" s="145" t="s">
        <v>375</v>
      </c>
      <c r="C43" s="151">
        <v>-68</v>
      </c>
      <c r="D43" s="174">
        <f t="shared" si="1"/>
        <v>1046.0444592591889</v>
      </c>
      <c r="E43" s="175">
        <f t="shared" si="0"/>
        <v>-35.565511614812422</v>
      </c>
    </row>
    <row r="44" spans="2:5" s="143" customFormat="1" x14ac:dyDescent="0.25">
      <c r="B44" s="145" t="s">
        <v>230</v>
      </c>
      <c r="C44" s="151">
        <v>106424</v>
      </c>
      <c r="D44" s="174">
        <f t="shared" si="1"/>
        <v>895</v>
      </c>
      <c r="E44" s="175">
        <f t="shared" si="0"/>
        <v>47624.74</v>
      </c>
    </row>
    <row r="45" spans="2:5" s="143" customFormat="1" x14ac:dyDescent="0.25">
      <c r="B45" s="145" t="s">
        <v>232</v>
      </c>
      <c r="C45" s="151">
        <v>-338626</v>
      </c>
      <c r="D45" s="174">
        <f t="shared" si="1"/>
        <v>1046.0444592591889</v>
      </c>
      <c r="E45" s="175">
        <f t="shared" si="0"/>
        <v>-177108.92553055106</v>
      </c>
    </row>
    <row r="46" spans="2:5" s="143" customFormat="1" x14ac:dyDescent="0.25">
      <c r="B46" s="145" t="s">
        <v>294</v>
      </c>
      <c r="C46" s="151">
        <v>752.99099999999999</v>
      </c>
      <c r="D46" s="174">
        <f t="shared" si="1"/>
        <v>895</v>
      </c>
      <c r="E46" s="175">
        <f t="shared" si="0"/>
        <v>336.96347249999997</v>
      </c>
    </row>
    <row r="47" spans="2:5" s="143" customFormat="1" x14ac:dyDescent="0.25">
      <c r="B47" s="145" t="s">
        <v>379</v>
      </c>
      <c r="C47" s="151">
        <v>5932.5579999999973</v>
      </c>
      <c r="D47" s="174">
        <f t="shared" si="1"/>
        <v>895</v>
      </c>
      <c r="E47" s="175">
        <f t="shared" si="0"/>
        <v>2654.8197049999985</v>
      </c>
    </row>
    <row r="48" spans="2:5" s="143" customFormat="1" x14ac:dyDescent="0.25">
      <c r="B48" s="145" t="s">
        <v>308</v>
      </c>
      <c r="C48" s="151">
        <v>1351.0280000000002</v>
      </c>
      <c r="D48" s="174">
        <f t="shared" si="1"/>
        <v>895</v>
      </c>
      <c r="E48" s="175">
        <f t="shared" si="0"/>
        <v>604.58503000000019</v>
      </c>
    </row>
    <row r="49" spans="2:5" s="143" customFormat="1" x14ac:dyDescent="0.25">
      <c r="B49" s="145" t="s">
        <v>180</v>
      </c>
      <c r="C49" s="151">
        <v>-1070455</v>
      </c>
      <c r="D49" s="174">
        <f t="shared" si="1"/>
        <v>1046.0444592591889</v>
      </c>
      <c r="E49" s="175">
        <f t="shared" si="0"/>
        <v>-559871.76081814757</v>
      </c>
    </row>
    <row r="50" spans="2:5" s="143" customFormat="1" x14ac:dyDescent="0.25">
      <c r="B50" s="145" t="s">
        <v>246</v>
      </c>
      <c r="C50" s="151">
        <v>-22</v>
      </c>
      <c r="D50" s="174">
        <f t="shared" si="1"/>
        <v>1046.0444592591889</v>
      </c>
      <c r="E50" s="175">
        <f t="shared" si="0"/>
        <v>-11.506489051851078</v>
      </c>
    </row>
    <row r="51" spans="2:5" s="143" customFormat="1" x14ac:dyDescent="0.25">
      <c r="B51" s="145" t="s">
        <v>291</v>
      </c>
      <c r="C51" s="151">
        <v>-116</v>
      </c>
      <c r="D51" s="174">
        <f t="shared" si="1"/>
        <v>1046.0444592591889</v>
      </c>
      <c r="E51" s="175">
        <f t="shared" si="0"/>
        <v>-60.670578637032961</v>
      </c>
    </row>
    <row r="52" spans="2:5" s="143" customFormat="1" x14ac:dyDescent="0.25">
      <c r="B52" s="145" t="s">
        <v>248</v>
      </c>
      <c r="C52" s="151">
        <v>38701</v>
      </c>
      <c r="D52" s="174">
        <f t="shared" si="1"/>
        <v>895</v>
      </c>
      <c r="E52" s="175">
        <f t="shared" si="0"/>
        <v>17318.697499999998</v>
      </c>
    </row>
    <row r="53" spans="2:5" s="143" customFormat="1" x14ac:dyDescent="0.25">
      <c r="B53" s="145" t="s">
        <v>250</v>
      </c>
      <c r="C53" s="151">
        <v>1200</v>
      </c>
      <c r="D53" s="174">
        <f t="shared" si="1"/>
        <v>895</v>
      </c>
      <c r="E53" s="175">
        <f t="shared" si="0"/>
        <v>537</v>
      </c>
    </row>
    <row r="54" spans="2:5" s="143" customFormat="1" x14ac:dyDescent="0.25">
      <c r="B54" s="145" t="s">
        <v>251</v>
      </c>
      <c r="C54" s="151">
        <v>336</v>
      </c>
      <c r="D54" s="174">
        <f t="shared" si="1"/>
        <v>895</v>
      </c>
      <c r="E54" s="175">
        <f t="shared" si="0"/>
        <v>150.36000000000001</v>
      </c>
    </row>
    <row r="55" spans="2:5" s="143" customFormat="1" x14ac:dyDescent="0.25">
      <c r="B55" s="145" t="s">
        <v>252</v>
      </c>
      <c r="C55" s="151">
        <v>54623</v>
      </c>
      <c r="D55" s="174">
        <f t="shared" si="1"/>
        <v>895</v>
      </c>
      <c r="E55" s="175">
        <f t="shared" si="0"/>
        <v>24443.7925</v>
      </c>
    </row>
    <row r="56" spans="2:5" s="143" customFormat="1" x14ac:dyDescent="0.25">
      <c r="B56" s="145" t="s">
        <v>254</v>
      </c>
      <c r="C56" s="151">
        <v>6305</v>
      </c>
      <c r="D56" s="174">
        <f t="shared" si="1"/>
        <v>895</v>
      </c>
      <c r="E56" s="175">
        <f t="shared" si="0"/>
        <v>2821.4875000000002</v>
      </c>
    </row>
    <row r="57" spans="2:5" s="143" customFormat="1" x14ac:dyDescent="0.25">
      <c r="B57" s="145" t="s">
        <v>181</v>
      </c>
      <c r="C57" s="151">
        <v>0</v>
      </c>
      <c r="D57" s="174">
        <f t="shared" si="1"/>
        <v>1046.0444592591889</v>
      </c>
      <c r="E57" s="175"/>
    </row>
    <row r="58" spans="2:5" s="143" customFormat="1" x14ac:dyDescent="0.25">
      <c r="B58" s="145" t="s">
        <v>257</v>
      </c>
      <c r="C58" s="151">
        <v>-393958</v>
      </c>
      <c r="D58" s="174">
        <f t="shared" si="1"/>
        <v>1046.0444592591889</v>
      </c>
      <c r="E58" s="175">
        <f t="shared" si="0"/>
        <v>-206048.79154041575</v>
      </c>
    </row>
    <row r="59" spans="2:5" s="143" customFormat="1" x14ac:dyDescent="0.25">
      <c r="B59" s="145" t="s">
        <v>261</v>
      </c>
      <c r="C59" s="151">
        <v>295929</v>
      </c>
      <c r="D59" s="174">
        <f t="shared" si="1"/>
        <v>895</v>
      </c>
      <c r="E59" s="175">
        <f t="shared" si="0"/>
        <v>132428.22750000001</v>
      </c>
    </row>
    <row r="60" spans="2:5" s="143" customFormat="1" x14ac:dyDescent="0.25">
      <c r="B60" s="145" t="s">
        <v>183</v>
      </c>
      <c r="C60" s="151">
        <v>-1978155</v>
      </c>
      <c r="D60" s="174">
        <f t="shared" si="1"/>
        <v>1046.0444592591889</v>
      </c>
      <c r="E60" s="175">
        <f t="shared" si="0"/>
        <v>-1034619.0386529304</v>
      </c>
    </row>
    <row r="61" spans="2:5" s="143" customFormat="1" x14ac:dyDescent="0.25">
      <c r="B61" s="145" t="s">
        <v>263</v>
      </c>
      <c r="C61" s="151">
        <v>-28595</v>
      </c>
      <c r="D61" s="174">
        <f t="shared" si="1"/>
        <v>1046.0444592591889</v>
      </c>
      <c r="E61" s="175">
        <f t="shared" si="0"/>
        <v>-14955.820656258253</v>
      </c>
    </row>
    <row r="62" spans="2:5" s="143" customFormat="1" x14ac:dyDescent="0.25">
      <c r="B62" s="145" t="s">
        <v>264</v>
      </c>
      <c r="C62" s="151">
        <v>-21688</v>
      </c>
      <c r="D62" s="174">
        <f t="shared" si="1"/>
        <v>1046.0444592591889</v>
      </c>
      <c r="E62" s="175">
        <f t="shared" si="0"/>
        <v>-11343.306116206644</v>
      </c>
    </row>
    <row r="63" spans="2:5" s="143" customFormat="1" x14ac:dyDescent="0.25">
      <c r="B63" s="145" t="s">
        <v>266</v>
      </c>
      <c r="C63" s="151">
        <v>143</v>
      </c>
      <c r="D63" s="174">
        <f t="shared" si="1"/>
        <v>895</v>
      </c>
      <c r="E63" s="175">
        <f t="shared" si="0"/>
        <v>63.9925</v>
      </c>
    </row>
    <row r="64" spans="2:5" s="143" customFormat="1" x14ac:dyDescent="0.25">
      <c r="B64" s="145" t="s">
        <v>184</v>
      </c>
      <c r="C64" s="151">
        <v>60520</v>
      </c>
      <c r="D64" s="174">
        <f t="shared" si="1"/>
        <v>895</v>
      </c>
      <c r="E64" s="175">
        <f t="shared" si="0"/>
        <v>27082.7</v>
      </c>
    </row>
    <row r="65" spans="2:9" x14ac:dyDescent="0.25">
      <c r="B65" s="145" t="s">
        <v>185</v>
      </c>
      <c r="C65" s="151">
        <v>83099</v>
      </c>
      <c r="D65" s="174">
        <f t="shared" si="1"/>
        <v>895</v>
      </c>
      <c r="E65" s="175">
        <f t="shared" si="0"/>
        <v>37186.802499999998</v>
      </c>
      <c r="I65" s="143"/>
    </row>
    <row r="66" spans="2:9" x14ac:dyDescent="0.25">
      <c r="B66" s="145" t="s">
        <v>272</v>
      </c>
      <c r="C66" s="151">
        <v>19380</v>
      </c>
      <c r="D66" s="174">
        <f t="shared" si="1"/>
        <v>895</v>
      </c>
      <c r="E66" s="175">
        <f t="shared" si="0"/>
        <v>8672.5499999999993</v>
      </c>
      <c r="I66" s="143"/>
    </row>
    <row r="67" spans="2:9" x14ac:dyDescent="0.25">
      <c r="B67" s="145" t="s">
        <v>380</v>
      </c>
      <c r="C67" s="151">
        <v>3163.4</v>
      </c>
      <c r="D67" s="174">
        <f t="shared" si="1"/>
        <v>895</v>
      </c>
      <c r="E67" s="175">
        <f t="shared" si="0"/>
        <v>1415.6215</v>
      </c>
      <c r="I67" s="143"/>
    </row>
    <row r="68" spans="2:9" x14ac:dyDescent="0.25">
      <c r="B68" s="145" t="s">
        <v>273</v>
      </c>
      <c r="C68" s="151">
        <v>100</v>
      </c>
      <c r="D68" s="174">
        <f t="shared" si="1"/>
        <v>895</v>
      </c>
      <c r="E68" s="175">
        <f t="shared" si="0"/>
        <v>44.75</v>
      </c>
      <c r="I68" s="143"/>
    </row>
    <row r="69" spans="2:9" x14ac:dyDescent="0.25">
      <c r="B69" s="145" t="s">
        <v>309</v>
      </c>
      <c r="C69" s="151">
        <v>4619.1450000000004</v>
      </c>
      <c r="D69" s="174">
        <f t="shared" si="1"/>
        <v>895</v>
      </c>
      <c r="E69" s="175">
        <f t="shared" si="0"/>
        <v>2067.0673875000002</v>
      </c>
      <c r="I69" s="143"/>
    </row>
    <row r="70" spans="2:9" x14ac:dyDescent="0.25">
      <c r="B70" s="145" t="s">
        <v>186</v>
      </c>
      <c r="C70" s="151">
        <v>25553</v>
      </c>
      <c r="D70" s="174">
        <f t="shared" si="1"/>
        <v>895</v>
      </c>
      <c r="E70" s="175">
        <f t="shared" ref="E70:E75" si="2">(+C70*D70)/2000</f>
        <v>11434.967500000001</v>
      </c>
      <c r="I70" s="143"/>
    </row>
    <row r="71" spans="2:9" x14ac:dyDescent="0.25">
      <c r="B71" s="145" t="s">
        <v>276</v>
      </c>
      <c r="C71" s="151">
        <v>165789</v>
      </c>
      <c r="D71" s="174">
        <f t="shared" ref="D71:D75" si="3">IF(C71&gt;0,$I$2,$I$11)</f>
        <v>895</v>
      </c>
      <c r="E71" s="175">
        <f t="shared" si="2"/>
        <v>74190.577499999999</v>
      </c>
      <c r="I71" s="143"/>
    </row>
    <row r="72" spans="2:9" x14ac:dyDescent="0.25">
      <c r="B72" s="145" t="s">
        <v>278</v>
      </c>
      <c r="C72" s="151">
        <v>958</v>
      </c>
      <c r="D72" s="174">
        <f t="shared" si="3"/>
        <v>895</v>
      </c>
      <c r="E72" s="175">
        <f t="shared" si="2"/>
        <v>428.70499999999998</v>
      </c>
      <c r="I72" s="143"/>
    </row>
    <row r="73" spans="2:9" x14ac:dyDescent="0.25">
      <c r="B73" s="145" t="s">
        <v>279</v>
      </c>
      <c r="C73" s="151">
        <v>676328</v>
      </c>
      <c r="D73" s="174">
        <f t="shared" si="3"/>
        <v>895</v>
      </c>
      <c r="E73" s="175">
        <f t="shared" si="2"/>
        <v>302656.78000000003</v>
      </c>
      <c r="I73" s="143"/>
    </row>
    <row r="74" spans="2:9" x14ac:dyDescent="0.25">
      <c r="B74" s="145" t="s">
        <v>341</v>
      </c>
      <c r="C74" s="151">
        <v>-2206</v>
      </c>
      <c r="D74" s="174">
        <f t="shared" si="3"/>
        <v>1046.0444592591889</v>
      </c>
      <c r="E74" s="175">
        <f t="shared" si="2"/>
        <v>-1153.7870385628853</v>
      </c>
      <c r="I74" s="143"/>
    </row>
    <row r="75" spans="2:9" x14ac:dyDescent="0.25">
      <c r="B75" s="145" t="s">
        <v>188</v>
      </c>
      <c r="C75" s="151">
        <v>-39336</v>
      </c>
      <c r="D75" s="174">
        <f t="shared" si="3"/>
        <v>1046.0444592591889</v>
      </c>
      <c r="E75" s="175">
        <f t="shared" si="2"/>
        <v>-20573.602424709727</v>
      </c>
      <c r="I75" s="143"/>
    </row>
    <row r="76" spans="2:9" x14ac:dyDescent="0.25">
      <c r="B76" s="145" t="s">
        <v>281</v>
      </c>
      <c r="C76" s="151">
        <v>-7308</v>
      </c>
      <c r="D76" s="174">
        <f t="shared" ref="D76:D81" si="4">IF(C76&gt;0,$I$2,$I$11)</f>
        <v>1046.0444592591889</v>
      </c>
      <c r="E76" s="175">
        <f t="shared" ref="E76:E81" si="5">(+C76*D76)/2000</f>
        <v>-3822.246454133076</v>
      </c>
      <c r="I76" s="143"/>
    </row>
    <row r="77" spans="2:9" x14ac:dyDescent="0.25">
      <c r="B77" s="145" t="s">
        <v>284</v>
      </c>
      <c r="C77" s="151">
        <v>18516</v>
      </c>
      <c r="D77" s="174">
        <f t="shared" si="4"/>
        <v>895</v>
      </c>
      <c r="E77" s="175">
        <f t="shared" si="5"/>
        <v>8285.91</v>
      </c>
      <c r="I77" s="143"/>
    </row>
    <row r="78" spans="2:9" x14ac:dyDescent="0.25">
      <c r="B78" s="145" t="s">
        <v>297</v>
      </c>
      <c r="C78" s="151">
        <v>5749.4269999999997</v>
      </c>
      <c r="D78" s="174">
        <f t="shared" si="4"/>
        <v>895</v>
      </c>
      <c r="E78" s="175">
        <f t="shared" si="5"/>
        <v>2572.8685825000002</v>
      </c>
      <c r="I78" s="143"/>
    </row>
    <row r="79" spans="2:9" x14ac:dyDescent="0.25">
      <c r="B79" s="145" t="s">
        <v>286</v>
      </c>
      <c r="C79" s="151">
        <v>192747</v>
      </c>
      <c r="D79" s="174">
        <f t="shared" si="4"/>
        <v>895</v>
      </c>
      <c r="E79" s="175">
        <f t="shared" si="5"/>
        <v>86254.282500000001</v>
      </c>
      <c r="I79" s="143"/>
    </row>
    <row r="80" spans="2:9" x14ac:dyDescent="0.25">
      <c r="B80" s="145" t="s">
        <v>310</v>
      </c>
      <c r="C80" s="151">
        <v>342.471</v>
      </c>
      <c r="D80" s="174">
        <f t="shared" si="4"/>
        <v>895</v>
      </c>
      <c r="E80" s="175">
        <f t="shared" si="5"/>
        <v>153.25577249999998</v>
      </c>
      <c r="I80" s="143"/>
    </row>
    <row r="81" spans="2:9" x14ac:dyDescent="0.25">
      <c r="B81" s="145" t="s">
        <v>311</v>
      </c>
      <c r="C81" s="151">
        <v>-15814.602999999999</v>
      </c>
      <c r="D81" s="174">
        <f t="shared" si="4"/>
        <v>1046.0444592591889</v>
      </c>
      <c r="E81" s="175">
        <f t="shared" si="5"/>
        <v>-8271.388921766873</v>
      </c>
      <c r="I81" s="143"/>
    </row>
    <row r="82" spans="2:9" ht="21" customHeight="1" x14ac:dyDescent="0.25">
      <c r="B82" s="170" t="s">
        <v>458</v>
      </c>
      <c r="C82" s="172">
        <f>SUM(C6:C81)</f>
        <v>4166128.7530000005</v>
      </c>
      <c r="D82" s="173"/>
      <c r="E82" s="172">
        <f>SUM(E6:E81)</f>
        <v>1537602.0515614168</v>
      </c>
      <c r="I82" s="143"/>
    </row>
    <row r="83" spans="2:9" x14ac:dyDescent="0.25">
      <c r="I83" s="143"/>
    </row>
  </sheetData>
  <mergeCells count="5">
    <mergeCell ref="B3:B4"/>
    <mergeCell ref="C3:C4"/>
    <mergeCell ref="D3:D4"/>
    <mergeCell ref="E3:E4"/>
    <mergeCell ref="B5:E5"/>
  </mergeCells>
  <hyperlinks>
    <hyperlink ref="G2"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workbookViewId="0">
      <selection sqref="A1:XFD1048576"/>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32</v>
      </c>
      <c r="B1" s="95">
        <v>2016</v>
      </c>
      <c r="D1" s="8" t="s">
        <v>2</v>
      </c>
      <c r="H1" s="130">
        <v>895</v>
      </c>
      <c r="I1" t="s">
        <v>6</v>
      </c>
    </row>
    <row r="2" spans="1:9" ht="18.75" x14ac:dyDescent="0.3">
      <c r="A2" s="3"/>
      <c r="B2" s="11" t="s">
        <v>31</v>
      </c>
      <c r="C2" s="11" t="s">
        <v>1</v>
      </c>
      <c r="D2" s="11" t="s">
        <v>5</v>
      </c>
      <c r="E2" s="4"/>
      <c r="F2" s="40" t="s">
        <v>9</v>
      </c>
      <c r="G2" s="38">
        <v>2016</v>
      </c>
      <c r="H2" s="41"/>
    </row>
    <row r="3" spans="1:9" ht="19.5" x14ac:dyDescent="0.35">
      <c r="A3" s="5" t="s">
        <v>0</v>
      </c>
      <c r="B3" s="12"/>
      <c r="C3" s="12" t="s">
        <v>7</v>
      </c>
      <c r="D3" s="12" t="s">
        <v>8</v>
      </c>
      <c r="E3" s="7"/>
    </row>
    <row r="4" spans="1:9" x14ac:dyDescent="0.25">
      <c r="A4" s="33" t="s">
        <v>194</v>
      </c>
      <c r="B4" s="105">
        <v>72218</v>
      </c>
      <c r="C4" s="98">
        <f t="shared" ref="C4:C67" si="0">IF(B4&lt;&gt;0,$H$1,"")</f>
        <v>895</v>
      </c>
      <c r="D4" s="10">
        <f t="shared" ref="D4:D67" si="1">(+B4*C4)/2000</f>
        <v>32317.555</v>
      </c>
      <c r="F4" s="133" t="s">
        <v>440</v>
      </c>
      <c r="G4" s="133"/>
    </row>
    <row r="5" spans="1:9" x14ac:dyDescent="0.25">
      <c r="A5" s="33" t="s">
        <v>198</v>
      </c>
      <c r="B5" s="105">
        <v>201</v>
      </c>
      <c r="C5" s="98">
        <f t="shared" si="0"/>
        <v>895</v>
      </c>
      <c r="D5" s="10">
        <f t="shared" si="1"/>
        <v>89.947500000000005</v>
      </c>
      <c r="F5" s="134">
        <v>2086933.2735579289</v>
      </c>
      <c r="G5" s="133" t="s">
        <v>438</v>
      </c>
    </row>
    <row r="6" spans="1:9" x14ac:dyDescent="0.25">
      <c r="A6" s="33" t="s">
        <v>200</v>
      </c>
      <c r="B6" s="105">
        <v>-6081614</v>
      </c>
      <c r="C6" s="98">
        <f t="shared" si="0"/>
        <v>895</v>
      </c>
      <c r="D6" s="10">
        <f t="shared" si="1"/>
        <v>-2721522.2650000001</v>
      </c>
    </row>
    <row r="7" spans="1:9" x14ac:dyDescent="0.25">
      <c r="A7" s="33" t="s">
        <v>201</v>
      </c>
      <c r="B7" s="105">
        <v>688626</v>
      </c>
      <c r="C7" s="98">
        <f t="shared" si="0"/>
        <v>895</v>
      </c>
      <c r="D7" s="10">
        <f t="shared" si="1"/>
        <v>308160.13500000001</v>
      </c>
    </row>
    <row r="8" spans="1:9" x14ac:dyDescent="0.25">
      <c r="A8" s="33" t="s">
        <v>175</v>
      </c>
      <c r="B8" s="105">
        <v>374896</v>
      </c>
      <c r="C8" s="98">
        <f t="shared" si="0"/>
        <v>895</v>
      </c>
      <c r="D8" s="10">
        <f t="shared" si="1"/>
        <v>167765.96</v>
      </c>
    </row>
    <row r="9" spans="1:9" x14ac:dyDescent="0.25">
      <c r="A9" s="33" t="s">
        <v>374</v>
      </c>
      <c r="B9" s="105">
        <v>233</v>
      </c>
      <c r="C9" s="98">
        <f t="shared" si="0"/>
        <v>895</v>
      </c>
      <c r="D9" s="10">
        <f t="shared" si="1"/>
        <v>104.2675</v>
      </c>
    </row>
    <row r="10" spans="1:9" x14ac:dyDescent="0.25">
      <c r="A10" s="33" t="s">
        <v>202</v>
      </c>
      <c r="B10" s="105">
        <v>16</v>
      </c>
      <c r="C10" s="98">
        <f t="shared" si="0"/>
        <v>895</v>
      </c>
      <c r="D10" s="10">
        <f t="shared" si="1"/>
        <v>7.16</v>
      </c>
    </row>
    <row r="11" spans="1:9" x14ac:dyDescent="0.25">
      <c r="A11" s="33" t="s">
        <v>206</v>
      </c>
      <c r="B11" s="105">
        <v>33095</v>
      </c>
      <c r="C11" s="98">
        <f t="shared" si="0"/>
        <v>895</v>
      </c>
      <c r="D11" s="10">
        <f t="shared" si="1"/>
        <v>14810.012500000001</v>
      </c>
    </row>
    <row r="12" spans="1:9" x14ac:dyDescent="0.25">
      <c r="A12" s="33" t="s">
        <v>207</v>
      </c>
      <c r="B12" s="105">
        <v>169176</v>
      </c>
      <c r="C12" s="98">
        <f t="shared" si="0"/>
        <v>895</v>
      </c>
      <c r="D12" s="10">
        <f t="shared" si="1"/>
        <v>75706.259999999995</v>
      </c>
    </row>
    <row r="13" spans="1:9" x14ac:dyDescent="0.25">
      <c r="A13" s="33" t="s">
        <v>176</v>
      </c>
      <c r="B13" s="105">
        <v>812939</v>
      </c>
      <c r="C13" s="98">
        <f t="shared" si="0"/>
        <v>895</v>
      </c>
      <c r="D13" s="10">
        <f t="shared" si="1"/>
        <v>363790.20250000001</v>
      </c>
    </row>
    <row r="14" spans="1:9" x14ac:dyDescent="0.25">
      <c r="A14" s="33" t="s">
        <v>208</v>
      </c>
      <c r="B14" s="105">
        <v>62409</v>
      </c>
      <c r="C14" s="98">
        <f t="shared" si="0"/>
        <v>895</v>
      </c>
      <c r="D14" s="10">
        <f t="shared" si="1"/>
        <v>27928.0275</v>
      </c>
    </row>
    <row r="15" spans="1:9" x14ac:dyDescent="0.25">
      <c r="A15" s="33" t="s">
        <v>189</v>
      </c>
      <c r="B15" s="105">
        <v>1224171</v>
      </c>
      <c r="C15" s="98">
        <f t="shared" si="0"/>
        <v>895</v>
      </c>
      <c r="D15" s="10">
        <f t="shared" si="1"/>
        <v>547816.52249999996</v>
      </c>
    </row>
    <row r="16" spans="1:9" x14ac:dyDescent="0.25">
      <c r="A16" s="33" t="s">
        <v>212</v>
      </c>
      <c r="B16" s="105">
        <v>8332</v>
      </c>
      <c r="C16" s="98">
        <f t="shared" si="0"/>
        <v>895</v>
      </c>
      <c r="D16" s="10">
        <f t="shared" si="1"/>
        <v>3728.57</v>
      </c>
    </row>
    <row r="17" spans="1:4" x14ac:dyDescent="0.25">
      <c r="A17" s="33" t="s">
        <v>213</v>
      </c>
      <c r="B17" s="105">
        <v>4432</v>
      </c>
      <c r="C17" s="98">
        <f t="shared" si="0"/>
        <v>895</v>
      </c>
      <c r="D17" s="10">
        <f t="shared" si="1"/>
        <v>1983.32</v>
      </c>
    </row>
    <row r="18" spans="1:4" x14ac:dyDescent="0.25">
      <c r="A18" s="33" t="s">
        <v>214</v>
      </c>
      <c r="B18" s="105">
        <v>6600</v>
      </c>
      <c r="C18" s="98">
        <f t="shared" si="0"/>
        <v>895</v>
      </c>
      <c r="D18" s="10">
        <f t="shared" si="1"/>
        <v>2953.5</v>
      </c>
    </row>
    <row r="19" spans="1:4" x14ac:dyDescent="0.25">
      <c r="A19" s="33" t="s">
        <v>215</v>
      </c>
      <c r="B19" s="105">
        <v>500</v>
      </c>
      <c r="C19" s="98">
        <f t="shared" si="0"/>
        <v>895</v>
      </c>
      <c r="D19" s="10">
        <f t="shared" si="1"/>
        <v>223.75</v>
      </c>
    </row>
    <row r="20" spans="1:4" x14ac:dyDescent="0.25">
      <c r="A20" s="33" t="s">
        <v>179</v>
      </c>
      <c r="B20" s="105">
        <v>281095</v>
      </c>
      <c r="C20" s="98">
        <f t="shared" si="0"/>
        <v>895</v>
      </c>
      <c r="D20" s="10">
        <f t="shared" si="1"/>
        <v>125790.0125</v>
      </c>
    </row>
    <row r="21" spans="1:4" x14ac:dyDescent="0.25">
      <c r="A21" s="33" t="s">
        <v>219</v>
      </c>
      <c r="B21" s="105">
        <v>483150</v>
      </c>
      <c r="C21" s="98">
        <f t="shared" si="0"/>
        <v>895</v>
      </c>
      <c r="D21" s="10">
        <f t="shared" si="1"/>
        <v>216209.625</v>
      </c>
    </row>
    <row r="22" spans="1:4" x14ac:dyDescent="0.25">
      <c r="A22" s="33" t="s">
        <v>223</v>
      </c>
      <c r="B22" s="105">
        <v>15232</v>
      </c>
      <c r="C22" s="98">
        <f t="shared" si="0"/>
        <v>895</v>
      </c>
      <c r="D22" s="10">
        <f t="shared" si="1"/>
        <v>6816.32</v>
      </c>
    </row>
    <row r="23" spans="1:4" x14ac:dyDescent="0.25">
      <c r="A23" s="33" t="s">
        <v>190</v>
      </c>
      <c r="B23" s="105">
        <v>160970</v>
      </c>
      <c r="C23" s="98">
        <f t="shared" si="0"/>
        <v>895</v>
      </c>
      <c r="D23" s="10">
        <f t="shared" si="1"/>
        <v>72034.074999999997</v>
      </c>
    </row>
    <row r="24" spans="1:4" x14ac:dyDescent="0.25">
      <c r="A24" s="33" t="s">
        <v>226</v>
      </c>
      <c r="B24" s="105">
        <v>20</v>
      </c>
      <c r="C24" s="98">
        <f t="shared" si="0"/>
        <v>895</v>
      </c>
      <c r="D24" s="10">
        <f t="shared" si="1"/>
        <v>8.9499999999999993</v>
      </c>
    </row>
    <row r="25" spans="1:4" x14ac:dyDescent="0.25">
      <c r="A25" s="33" t="s">
        <v>375</v>
      </c>
      <c r="B25" s="105">
        <v>5</v>
      </c>
      <c r="C25" s="98">
        <f t="shared" si="0"/>
        <v>895</v>
      </c>
      <c r="D25" s="10">
        <f t="shared" si="1"/>
        <v>2.2374999999999998</v>
      </c>
    </row>
    <row r="26" spans="1:4" x14ac:dyDescent="0.25">
      <c r="A26" s="33" t="s">
        <v>230</v>
      </c>
      <c r="B26" s="105">
        <v>724215</v>
      </c>
      <c r="C26" s="98">
        <f t="shared" si="0"/>
        <v>895</v>
      </c>
      <c r="D26" s="10">
        <f t="shared" si="1"/>
        <v>324086.21250000002</v>
      </c>
    </row>
    <row r="27" spans="1:4" x14ac:dyDescent="0.25">
      <c r="A27" s="33" t="s">
        <v>232</v>
      </c>
      <c r="B27" s="105">
        <v>14367</v>
      </c>
      <c r="C27" s="98">
        <f t="shared" si="0"/>
        <v>895</v>
      </c>
      <c r="D27" s="10">
        <f t="shared" si="1"/>
        <v>6429.2325000000001</v>
      </c>
    </row>
    <row r="28" spans="1:4" x14ac:dyDescent="0.25">
      <c r="A28" s="33" t="s">
        <v>180</v>
      </c>
      <c r="B28" s="105">
        <v>1046909</v>
      </c>
      <c r="C28" s="98">
        <f t="shared" si="0"/>
        <v>895</v>
      </c>
      <c r="D28" s="10">
        <f t="shared" si="1"/>
        <v>468491.77750000003</v>
      </c>
    </row>
    <row r="29" spans="1:4" x14ac:dyDescent="0.25">
      <c r="A29" s="33" t="s">
        <v>248</v>
      </c>
      <c r="B29" s="105">
        <v>41481</v>
      </c>
      <c r="C29" s="98">
        <f t="shared" si="0"/>
        <v>895</v>
      </c>
      <c r="D29" s="10">
        <f t="shared" si="1"/>
        <v>18562.747500000001</v>
      </c>
    </row>
    <row r="30" spans="1:4" x14ac:dyDescent="0.25">
      <c r="A30" s="33" t="s">
        <v>250</v>
      </c>
      <c r="B30" s="105">
        <v>1600</v>
      </c>
      <c r="C30" s="98">
        <f t="shared" si="0"/>
        <v>895</v>
      </c>
      <c r="D30" s="10">
        <f t="shared" si="1"/>
        <v>716</v>
      </c>
    </row>
    <row r="31" spans="1:4" x14ac:dyDescent="0.25">
      <c r="A31" s="33" t="s">
        <v>251</v>
      </c>
      <c r="B31" s="105">
        <v>336</v>
      </c>
      <c r="C31" s="98">
        <f t="shared" si="0"/>
        <v>895</v>
      </c>
      <c r="D31" s="10">
        <f t="shared" si="1"/>
        <v>150.36000000000001</v>
      </c>
    </row>
    <row r="32" spans="1:4" x14ac:dyDescent="0.25">
      <c r="A32" s="33" t="s">
        <v>252</v>
      </c>
      <c r="B32" s="105">
        <v>12081</v>
      </c>
      <c r="C32" s="98">
        <f t="shared" si="0"/>
        <v>895</v>
      </c>
      <c r="D32" s="10">
        <f t="shared" si="1"/>
        <v>5406.2475000000004</v>
      </c>
    </row>
    <row r="33" spans="1:4" x14ac:dyDescent="0.25">
      <c r="A33" s="33" t="s">
        <v>254</v>
      </c>
      <c r="B33" s="105">
        <v>14335</v>
      </c>
      <c r="C33" s="98">
        <f t="shared" si="0"/>
        <v>895</v>
      </c>
      <c r="D33" s="10">
        <f t="shared" si="1"/>
        <v>6414.9125000000004</v>
      </c>
    </row>
    <row r="34" spans="1:4" x14ac:dyDescent="0.25">
      <c r="A34" s="33" t="s">
        <v>257</v>
      </c>
      <c r="B34" s="105">
        <v>73911</v>
      </c>
      <c r="C34" s="98">
        <f t="shared" si="0"/>
        <v>895</v>
      </c>
      <c r="D34" s="10">
        <f t="shared" si="1"/>
        <v>33075.172500000001</v>
      </c>
    </row>
    <row r="35" spans="1:4" x14ac:dyDescent="0.25">
      <c r="A35" s="33" t="s">
        <v>261</v>
      </c>
      <c r="B35" s="105">
        <v>308093</v>
      </c>
      <c r="C35" s="98">
        <f t="shared" si="0"/>
        <v>895</v>
      </c>
      <c r="D35" s="10">
        <f t="shared" si="1"/>
        <v>137871.61749999999</v>
      </c>
    </row>
    <row r="36" spans="1:4" x14ac:dyDescent="0.25">
      <c r="A36" s="33" t="s">
        <v>183</v>
      </c>
      <c r="B36" s="105">
        <v>118836</v>
      </c>
      <c r="C36" s="98">
        <f t="shared" si="0"/>
        <v>895</v>
      </c>
      <c r="D36" s="10">
        <f t="shared" si="1"/>
        <v>53179.11</v>
      </c>
    </row>
    <row r="37" spans="1:4" x14ac:dyDescent="0.25">
      <c r="A37" s="33" t="s">
        <v>263</v>
      </c>
      <c r="B37" s="105">
        <v>158000</v>
      </c>
      <c r="C37" s="98">
        <f t="shared" si="0"/>
        <v>895</v>
      </c>
      <c r="D37" s="10">
        <f t="shared" si="1"/>
        <v>70705</v>
      </c>
    </row>
    <row r="38" spans="1:4" x14ac:dyDescent="0.25">
      <c r="A38" s="33" t="s">
        <v>264</v>
      </c>
      <c r="B38" s="105">
        <v>956</v>
      </c>
      <c r="C38" s="98">
        <f t="shared" si="0"/>
        <v>895</v>
      </c>
      <c r="D38" s="10">
        <f t="shared" si="1"/>
        <v>427.81</v>
      </c>
    </row>
    <row r="39" spans="1:4" x14ac:dyDescent="0.25">
      <c r="A39" s="33" t="s">
        <v>266</v>
      </c>
      <c r="B39" s="105">
        <v>153</v>
      </c>
      <c r="C39" s="98">
        <f t="shared" si="0"/>
        <v>895</v>
      </c>
      <c r="D39" s="10">
        <f t="shared" si="1"/>
        <v>68.467500000000001</v>
      </c>
    </row>
    <row r="40" spans="1:4" x14ac:dyDescent="0.25">
      <c r="A40" s="33" t="s">
        <v>184</v>
      </c>
      <c r="B40" s="105">
        <v>92909</v>
      </c>
      <c r="C40" s="98">
        <f t="shared" si="0"/>
        <v>895</v>
      </c>
      <c r="D40" s="10">
        <f t="shared" si="1"/>
        <v>41576.777499999997</v>
      </c>
    </row>
    <row r="41" spans="1:4" x14ac:dyDescent="0.25">
      <c r="A41" s="33" t="s">
        <v>185</v>
      </c>
      <c r="B41" s="105">
        <v>450861</v>
      </c>
      <c r="C41" s="98">
        <f t="shared" si="0"/>
        <v>895</v>
      </c>
      <c r="D41" s="10">
        <f t="shared" si="1"/>
        <v>201760.29749999999</v>
      </c>
    </row>
    <row r="42" spans="1:4" x14ac:dyDescent="0.25">
      <c r="A42" s="33" t="s">
        <v>272</v>
      </c>
      <c r="B42" s="105">
        <v>27590</v>
      </c>
      <c r="C42" s="98">
        <f t="shared" si="0"/>
        <v>895</v>
      </c>
      <c r="D42" s="10">
        <f t="shared" si="1"/>
        <v>12346.525</v>
      </c>
    </row>
    <row r="43" spans="1:4" x14ac:dyDescent="0.25">
      <c r="A43" s="33" t="s">
        <v>273</v>
      </c>
      <c r="B43" s="105">
        <v>100</v>
      </c>
      <c r="C43" s="98">
        <f t="shared" si="0"/>
        <v>895</v>
      </c>
      <c r="D43" s="10">
        <f t="shared" si="1"/>
        <v>44.75</v>
      </c>
    </row>
    <row r="44" spans="1:4" x14ac:dyDescent="0.25">
      <c r="A44" s="33" t="s">
        <v>186</v>
      </c>
      <c r="B44" s="105">
        <v>78082</v>
      </c>
      <c r="C44" s="98">
        <f t="shared" si="0"/>
        <v>895</v>
      </c>
      <c r="D44" s="10">
        <f t="shared" si="1"/>
        <v>34941.695</v>
      </c>
    </row>
    <row r="45" spans="1:4" x14ac:dyDescent="0.25">
      <c r="A45" s="33" t="s">
        <v>276</v>
      </c>
      <c r="B45" s="105">
        <v>232943</v>
      </c>
      <c r="C45" s="98">
        <f t="shared" si="0"/>
        <v>895</v>
      </c>
      <c r="D45" s="10">
        <f t="shared" si="1"/>
        <v>104241.99249999999</v>
      </c>
    </row>
    <row r="46" spans="1:4" x14ac:dyDescent="0.25">
      <c r="A46" s="33" t="s">
        <v>278</v>
      </c>
      <c r="B46" s="105">
        <v>975</v>
      </c>
      <c r="C46" s="98">
        <f t="shared" si="0"/>
        <v>895</v>
      </c>
      <c r="D46" s="10">
        <f t="shared" si="1"/>
        <v>436.3125</v>
      </c>
    </row>
    <row r="47" spans="1:4" x14ac:dyDescent="0.25">
      <c r="A47" s="33" t="s">
        <v>279</v>
      </c>
      <c r="B47" s="105">
        <v>979776</v>
      </c>
      <c r="C47" s="98">
        <f t="shared" si="0"/>
        <v>895</v>
      </c>
      <c r="D47" s="10">
        <f t="shared" si="1"/>
        <v>438449.76</v>
      </c>
    </row>
    <row r="48" spans="1:4" x14ac:dyDescent="0.25">
      <c r="A48" s="33" t="s">
        <v>188</v>
      </c>
      <c r="B48" s="105">
        <v>757605</v>
      </c>
      <c r="C48" s="98">
        <f t="shared" si="0"/>
        <v>895</v>
      </c>
      <c r="D48" s="10">
        <f t="shared" si="1"/>
        <v>339028.23749999999</v>
      </c>
    </row>
    <row r="49" spans="1:4" x14ac:dyDescent="0.25">
      <c r="A49" s="33" t="s">
        <v>281</v>
      </c>
      <c r="B49" s="105">
        <v>2609</v>
      </c>
      <c r="C49" s="98">
        <f t="shared" si="0"/>
        <v>895</v>
      </c>
      <c r="D49" s="10">
        <f t="shared" si="1"/>
        <v>1167.5274999999999</v>
      </c>
    </row>
    <row r="50" spans="1:4" x14ac:dyDescent="0.25">
      <c r="A50" s="33" t="s">
        <v>284</v>
      </c>
      <c r="B50" s="105">
        <v>18671</v>
      </c>
      <c r="C50" s="98">
        <f t="shared" si="0"/>
        <v>895</v>
      </c>
      <c r="D50" s="10">
        <f t="shared" si="1"/>
        <v>8355.2724999999991</v>
      </c>
    </row>
    <row r="51" spans="1:4" x14ac:dyDescent="0.25">
      <c r="A51" s="33" t="s">
        <v>286</v>
      </c>
      <c r="B51" s="105">
        <v>2531701</v>
      </c>
      <c r="C51" s="98">
        <f t="shared" si="0"/>
        <v>895</v>
      </c>
      <c r="D51" s="10">
        <f t="shared" si="1"/>
        <v>1132936.1975</v>
      </c>
    </row>
    <row r="52" spans="1:4" x14ac:dyDescent="0.25">
      <c r="A52" s="33" t="s">
        <v>205</v>
      </c>
      <c r="B52" s="105">
        <v>-39390.894</v>
      </c>
      <c r="C52" s="98">
        <f t="shared" si="0"/>
        <v>895</v>
      </c>
      <c r="D52" s="10">
        <f t="shared" si="1"/>
        <v>-17627.425065000003</v>
      </c>
    </row>
    <row r="53" spans="1:4" x14ac:dyDescent="0.25">
      <c r="A53" s="33" t="s">
        <v>376</v>
      </c>
      <c r="B53" s="105">
        <v>26884.028999999999</v>
      </c>
      <c r="C53" s="98">
        <f t="shared" si="0"/>
        <v>895</v>
      </c>
      <c r="D53" s="10">
        <f t="shared" si="1"/>
        <v>12030.602977499999</v>
      </c>
    </row>
    <row r="54" spans="1:4" x14ac:dyDescent="0.25">
      <c r="A54" s="33" t="s">
        <v>377</v>
      </c>
      <c r="B54" s="105">
        <v>-22440.600999999999</v>
      </c>
      <c r="C54" s="98">
        <f t="shared" si="0"/>
        <v>895</v>
      </c>
      <c r="D54" s="10">
        <f t="shared" si="1"/>
        <v>-10042.1689475</v>
      </c>
    </row>
    <row r="55" spans="1:4" x14ac:dyDescent="0.25">
      <c r="A55" s="33" t="s">
        <v>299</v>
      </c>
      <c r="B55" s="105">
        <v>2522.125</v>
      </c>
      <c r="C55" s="98">
        <f t="shared" si="0"/>
        <v>895</v>
      </c>
      <c r="D55" s="10">
        <f t="shared" si="1"/>
        <v>1128.6509375000001</v>
      </c>
    </row>
    <row r="56" spans="1:4" x14ac:dyDescent="0.25">
      <c r="A56" s="33" t="s">
        <v>300</v>
      </c>
      <c r="B56" s="105">
        <v>17368.060000000001</v>
      </c>
      <c r="C56" s="98">
        <f t="shared" si="0"/>
        <v>895</v>
      </c>
      <c r="D56" s="10">
        <f t="shared" si="1"/>
        <v>7772.2068500000005</v>
      </c>
    </row>
    <row r="57" spans="1:4" x14ac:dyDescent="0.25">
      <c r="A57" s="33" t="s">
        <v>301</v>
      </c>
      <c r="B57" s="105">
        <v>-2196.0230000000001</v>
      </c>
      <c r="C57" s="98">
        <f t="shared" si="0"/>
        <v>895</v>
      </c>
      <c r="D57" s="10">
        <f t="shared" si="1"/>
        <v>-982.72029250000014</v>
      </c>
    </row>
    <row r="58" spans="1:4" x14ac:dyDescent="0.25">
      <c r="A58" s="33" t="s">
        <v>378</v>
      </c>
      <c r="B58" s="105">
        <v>5396.1610000000001</v>
      </c>
      <c r="C58" s="98">
        <f t="shared" si="0"/>
        <v>895</v>
      </c>
      <c r="D58" s="10">
        <f t="shared" si="1"/>
        <v>2414.7820474999999</v>
      </c>
    </row>
    <row r="59" spans="1:4" x14ac:dyDescent="0.25">
      <c r="A59" s="33" t="s">
        <v>304</v>
      </c>
      <c r="B59" s="105">
        <v>1504.989</v>
      </c>
      <c r="C59" s="98">
        <f t="shared" si="0"/>
        <v>895</v>
      </c>
      <c r="D59" s="10">
        <f t="shared" si="1"/>
        <v>673.48257750000005</v>
      </c>
    </row>
    <row r="60" spans="1:4" x14ac:dyDescent="0.25">
      <c r="A60" s="33" t="s">
        <v>305</v>
      </c>
      <c r="B60" s="105">
        <v>37286.472999999998</v>
      </c>
      <c r="C60" s="98">
        <f t="shared" si="0"/>
        <v>895</v>
      </c>
      <c r="D60" s="10">
        <f t="shared" si="1"/>
        <v>16685.6966675</v>
      </c>
    </row>
    <row r="61" spans="1:4" x14ac:dyDescent="0.25">
      <c r="A61" s="33" t="s">
        <v>294</v>
      </c>
      <c r="B61" s="105">
        <v>752.99099999999999</v>
      </c>
      <c r="C61" s="98">
        <f t="shared" si="0"/>
        <v>895</v>
      </c>
      <c r="D61" s="10">
        <f t="shared" si="1"/>
        <v>336.96347249999997</v>
      </c>
    </row>
    <row r="62" spans="1:4" x14ac:dyDescent="0.25">
      <c r="A62" s="33" t="s">
        <v>379</v>
      </c>
      <c r="B62" s="105">
        <v>59160.167999999998</v>
      </c>
      <c r="C62" s="98">
        <f t="shared" si="0"/>
        <v>895</v>
      </c>
      <c r="D62" s="10">
        <f t="shared" si="1"/>
        <v>26474.175179999998</v>
      </c>
    </row>
    <row r="63" spans="1:4" x14ac:dyDescent="0.25">
      <c r="A63" s="33" t="s">
        <v>308</v>
      </c>
      <c r="B63" s="105">
        <v>5698.8680000000004</v>
      </c>
      <c r="C63" s="98">
        <f t="shared" si="0"/>
        <v>895</v>
      </c>
      <c r="D63" s="10">
        <f t="shared" si="1"/>
        <v>2550.24343</v>
      </c>
    </row>
    <row r="64" spans="1:4" x14ac:dyDescent="0.25">
      <c r="A64" s="33" t="s">
        <v>380</v>
      </c>
      <c r="B64" s="105">
        <v>3163.4</v>
      </c>
      <c r="C64" s="98">
        <f t="shared" si="0"/>
        <v>895</v>
      </c>
      <c r="D64" s="10">
        <f t="shared" si="1"/>
        <v>1415.6215</v>
      </c>
    </row>
    <row r="65" spans="1:4" x14ac:dyDescent="0.25">
      <c r="A65" s="33" t="s">
        <v>309</v>
      </c>
      <c r="B65" s="105">
        <v>8889.9590000000007</v>
      </c>
      <c r="C65" s="98">
        <f t="shared" si="0"/>
        <v>895</v>
      </c>
      <c r="D65" s="10">
        <f t="shared" si="1"/>
        <v>3978.2566525000002</v>
      </c>
    </row>
    <row r="66" spans="1:4" x14ac:dyDescent="0.25">
      <c r="A66" s="33" t="s">
        <v>297</v>
      </c>
      <c r="B66" s="105">
        <v>18962.732</v>
      </c>
      <c r="C66" s="98">
        <f t="shared" si="0"/>
        <v>895</v>
      </c>
      <c r="D66" s="10">
        <f t="shared" si="1"/>
        <v>8485.8225700000003</v>
      </c>
    </row>
    <row r="67" spans="1:4" x14ac:dyDescent="0.25">
      <c r="A67" s="33" t="s">
        <v>310</v>
      </c>
      <c r="B67" s="105">
        <v>1384.027</v>
      </c>
      <c r="C67" s="98">
        <f t="shared" si="0"/>
        <v>895</v>
      </c>
      <c r="D67" s="10">
        <f t="shared" si="1"/>
        <v>619.35208250000005</v>
      </c>
    </row>
    <row r="68" spans="1:4" x14ac:dyDescent="0.25">
      <c r="A68" s="33" t="s">
        <v>311</v>
      </c>
      <c r="B68" s="105">
        <v>-15814.602999999999</v>
      </c>
      <c r="C68" s="98">
        <f t="shared" ref="C68:C160" si="2">IF(B68&lt;&gt;0,$H$1,"")</f>
        <v>895</v>
      </c>
      <c r="D68" s="10">
        <f t="shared" ref="D68:D109" si="3">(+B68*C68)/2000</f>
        <v>-7077.0348424999993</v>
      </c>
    </row>
    <row r="69" spans="1:4" x14ac:dyDescent="0.25">
      <c r="A69" s="33" t="s">
        <v>173</v>
      </c>
      <c r="B69" s="105">
        <v>21796.48</v>
      </c>
      <c r="C69" s="98">
        <f t="shared" si="2"/>
        <v>895</v>
      </c>
      <c r="D69" s="10">
        <f t="shared" si="3"/>
        <v>9753.9247999999989</v>
      </c>
    </row>
    <row r="70" spans="1:4" x14ac:dyDescent="0.25">
      <c r="A70" s="33" t="s">
        <v>176</v>
      </c>
      <c r="B70" s="105">
        <v>200</v>
      </c>
      <c r="C70" s="98">
        <f t="shared" si="2"/>
        <v>895</v>
      </c>
      <c r="D70" s="10">
        <f t="shared" si="3"/>
        <v>89.5</v>
      </c>
    </row>
    <row r="71" spans="1:4" x14ac:dyDescent="0.25">
      <c r="A71" s="33" t="s">
        <v>181</v>
      </c>
      <c r="B71" s="105">
        <v>413000</v>
      </c>
      <c r="C71" s="98">
        <f t="shared" si="2"/>
        <v>895</v>
      </c>
      <c r="D71" s="10">
        <f t="shared" si="3"/>
        <v>184817.5</v>
      </c>
    </row>
    <row r="72" spans="1:4" x14ac:dyDescent="0.25">
      <c r="A72" s="33" t="s">
        <v>178</v>
      </c>
      <c r="B72" s="105">
        <v>18141.771000000001</v>
      </c>
      <c r="C72" s="98">
        <f t="shared" si="2"/>
        <v>895</v>
      </c>
      <c r="D72" s="10">
        <f t="shared" si="3"/>
        <v>8118.4425224999995</v>
      </c>
    </row>
    <row r="73" spans="1:4" x14ac:dyDescent="0.25">
      <c r="A73" s="33" t="s">
        <v>181</v>
      </c>
      <c r="B73" s="105">
        <v>-413000</v>
      </c>
      <c r="C73" s="98">
        <f t="shared" si="2"/>
        <v>895</v>
      </c>
      <c r="D73" s="10">
        <f t="shared" si="3"/>
        <v>-184817.5</v>
      </c>
    </row>
    <row r="74" spans="1:4" x14ac:dyDescent="0.25">
      <c r="A74" s="33" t="s">
        <v>261</v>
      </c>
      <c r="B74" s="105">
        <v>-100</v>
      </c>
      <c r="C74" s="98">
        <f t="shared" si="2"/>
        <v>895</v>
      </c>
      <c r="D74" s="10">
        <f t="shared" si="3"/>
        <v>-44.75</v>
      </c>
    </row>
    <row r="75" spans="1:4" x14ac:dyDescent="0.25">
      <c r="A75" s="33" t="s">
        <v>188</v>
      </c>
      <c r="B75" s="105">
        <v>-200</v>
      </c>
      <c r="C75" s="98">
        <f t="shared" si="2"/>
        <v>895</v>
      </c>
      <c r="D75" s="10">
        <f t="shared" si="3"/>
        <v>-89.5</v>
      </c>
    </row>
    <row r="76" spans="1:4" x14ac:dyDescent="0.25">
      <c r="A76" s="33" t="s">
        <v>194</v>
      </c>
      <c r="B76" s="105">
        <v>46050</v>
      </c>
      <c r="C76" s="98">
        <f t="shared" si="2"/>
        <v>895</v>
      </c>
      <c r="D76" s="10">
        <f t="shared" si="3"/>
        <v>20607.375</v>
      </c>
    </row>
    <row r="77" spans="1:4" x14ac:dyDescent="0.25">
      <c r="A77" s="33" t="s">
        <v>381</v>
      </c>
      <c r="B77" s="105">
        <v>1952.7380000000001</v>
      </c>
      <c r="C77" s="98">
        <f t="shared" si="2"/>
        <v>895</v>
      </c>
      <c r="D77" s="10">
        <f t="shared" si="3"/>
        <v>873.85025500000006</v>
      </c>
    </row>
    <row r="78" spans="1:4" x14ac:dyDescent="0.25">
      <c r="A78" s="33" t="s">
        <v>382</v>
      </c>
      <c r="B78" s="105">
        <v>39252</v>
      </c>
      <c r="C78" s="98">
        <f t="shared" si="2"/>
        <v>895</v>
      </c>
      <c r="D78" s="10">
        <f t="shared" si="3"/>
        <v>17565.27</v>
      </c>
    </row>
    <row r="79" spans="1:4" x14ac:dyDescent="0.25">
      <c r="A79" s="33" t="s">
        <v>383</v>
      </c>
      <c r="B79" s="105">
        <v>5037220.18</v>
      </c>
      <c r="C79" s="98">
        <f t="shared" si="2"/>
        <v>895</v>
      </c>
      <c r="D79" s="10">
        <f t="shared" si="3"/>
        <v>2254156.0305499998</v>
      </c>
    </row>
    <row r="80" spans="1:4" x14ac:dyDescent="0.25">
      <c r="A80" s="33" t="s">
        <v>384</v>
      </c>
      <c r="B80" s="105">
        <v>194</v>
      </c>
      <c r="C80" s="98">
        <f t="shared" si="2"/>
        <v>895</v>
      </c>
      <c r="D80" s="10">
        <f t="shared" si="3"/>
        <v>86.814999999999998</v>
      </c>
    </row>
    <row r="81" spans="1:4" x14ac:dyDescent="0.25">
      <c r="A81" s="33" t="s">
        <v>219</v>
      </c>
      <c r="B81" s="105">
        <v>-191676</v>
      </c>
      <c r="C81" s="98">
        <f t="shared" si="2"/>
        <v>895</v>
      </c>
      <c r="D81" s="10">
        <f t="shared" si="3"/>
        <v>-85775.01</v>
      </c>
    </row>
    <row r="82" spans="1:4" x14ac:dyDescent="0.25">
      <c r="A82" s="33" t="s">
        <v>230</v>
      </c>
      <c r="B82" s="105">
        <v>-76984</v>
      </c>
      <c r="C82" s="98">
        <f t="shared" si="2"/>
        <v>895</v>
      </c>
      <c r="D82" s="10">
        <f t="shared" si="3"/>
        <v>-34450.339999999997</v>
      </c>
    </row>
    <row r="83" spans="1:4" x14ac:dyDescent="0.25">
      <c r="A83" s="33" t="s">
        <v>232</v>
      </c>
      <c r="B83" s="105">
        <v>-302793</v>
      </c>
      <c r="C83" s="98">
        <f t="shared" si="2"/>
        <v>895</v>
      </c>
      <c r="D83" s="10">
        <f t="shared" si="3"/>
        <v>-135499.86749999999</v>
      </c>
    </row>
    <row r="84" spans="1:4" x14ac:dyDescent="0.25">
      <c r="A84" s="33" t="s">
        <v>180</v>
      </c>
      <c r="B84" s="105">
        <v>-1697398</v>
      </c>
      <c r="C84" s="98">
        <f t="shared" si="2"/>
        <v>895</v>
      </c>
      <c r="D84" s="10">
        <f t="shared" si="3"/>
        <v>-759585.60499999998</v>
      </c>
    </row>
    <row r="85" spans="1:4" x14ac:dyDescent="0.25">
      <c r="A85" s="33" t="s">
        <v>248</v>
      </c>
      <c r="B85" s="105">
        <v>-205</v>
      </c>
      <c r="C85" s="98">
        <f t="shared" si="2"/>
        <v>895</v>
      </c>
      <c r="D85" s="10">
        <f t="shared" si="3"/>
        <v>-91.737499999999997</v>
      </c>
    </row>
    <row r="86" spans="1:4" x14ac:dyDescent="0.25">
      <c r="A86" s="33" t="s">
        <v>252</v>
      </c>
      <c r="B86" s="105">
        <v>89897</v>
      </c>
      <c r="C86" s="98">
        <f t="shared" si="2"/>
        <v>895</v>
      </c>
      <c r="D86" s="10">
        <f t="shared" si="3"/>
        <v>40228.907500000001</v>
      </c>
    </row>
    <row r="87" spans="1:4" x14ac:dyDescent="0.25">
      <c r="A87" s="33" t="s">
        <v>257</v>
      </c>
      <c r="B87" s="105">
        <v>-254478</v>
      </c>
      <c r="C87" s="98">
        <f t="shared" si="2"/>
        <v>895</v>
      </c>
      <c r="D87" s="10">
        <f t="shared" si="3"/>
        <v>-113878.905</v>
      </c>
    </row>
    <row r="88" spans="1:4" x14ac:dyDescent="0.25">
      <c r="A88" s="33" t="s">
        <v>261</v>
      </c>
      <c r="B88" s="105">
        <v>290000</v>
      </c>
      <c r="C88" s="98">
        <f t="shared" si="2"/>
        <v>895</v>
      </c>
      <c r="D88" s="10">
        <f t="shared" si="3"/>
        <v>129775</v>
      </c>
    </row>
    <row r="89" spans="1:4" x14ac:dyDescent="0.25">
      <c r="A89" s="33" t="s">
        <v>183</v>
      </c>
      <c r="B89" s="105">
        <v>-1701985</v>
      </c>
      <c r="C89" s="98">
        <f t="shared" si="2"/>
        <v>895</v>
      </c>
      <c r="D89" s="10">
        <f t="shared" si="3"/>
        <v>-761638.28749999998</v>
      </c>
    </row>
    <row r="90" spans="1:4" x14ac:dyDescent="0.25">
      <c r="A90" s="33" t="s">
        <v>264</v>
      </c>
      <c r="B90" s="105">
        <v>-1200</v>
      </c>
      <c r="C90" s="98">
        <f t="shared" si="2"/>
        <v>895</v>
      </c>
      <c r="D90" s="10">
        <f t="shared" si="3"/>
        <v>-537</v>
      </c>
    </row>
    <row r="91" spans="1:4" x14ac:dyDescent="0.25">
      <c r="A91" s="33" t="s">
        <v>184</v>
      </c>
      <c r="B91" s="105">
        <v>-1900</v>
      </c>
      <c r="C91" s="98">
        <f t="shared" si="2"/>
        <v>895</v>
      </c>
      <c r="D91" s="10">
        <f t="shared" si="3"/>
        <v>-850.25</v>
      </c>
    </row>
    <row r="92" spans="1:4" x14ac:dyDescent="0.25">
      <c r="A92" s="33" t="s">
        <v>185</v>
      </c>
      <c r="B92" s="105">
        <v>-10890</v>
      </c>
      <c r="C92" s="98">
        <f t="shared" si="2"/>
        <v>895</v>
      </c>
      <c r="D92" s="10">
        <f t="shared" si="3"/>
        <v>-4873.2749999999996</v>
      </c>
    </row>
    <row r="93" spans="1:4" x14ac:dyDescent="0.25">
      <c r="A93" s="33" t="s">
        <v>186</v>
      </c>
      <c r="B93" s="105">
        <v>-26625</v>
      </c>
      <c r="C93" s="98">
        <f t="shared" si="2"/>
        <v>895</v>
      </c>
      <c r="D93" s="10">
        <f t="shared" si="3"/>
        <v>-11914.6875</v>
      </c>
    </row>
    <row r="94" spans="1:4" x14ac:dyDescent="0.25">
      <c r="A94" s="33" t="s">
        <v>279</v>
      </c>
      <c r="B94" s="105">
        <v>-257647</v>
      </c>
      <c r="C94" s="98">
        <f t="shared" si="2"/>
        <v>895</v>
      </c>
      <c r="D94" s="10">
        <f t="shared" si="3"/>
        <v>-115297.0325</v>
      </c>
    </row>
    <row r="95" spans="1:4" x14ac:dyDescent="0.25">
      <c r="A95" s="33" t="s">
        <v>188</v>
      </c>
      <c r="B95" s="105">
        <v>-365094</v>
      </c>
      <c r="C95" s="98">
        <f t="shared" si="2"/>
        <v>895</v>
      </c>
      <c r="D95" s="10">
        <f t="shared" si="3"/>
        <v>-163379.565</v>
      </c>
    </row>
    <row r="96" spans="1:4" x14ac:dyDescent="0.25">
      <c r="A96" s="33" t="s">
        <v>194</v>
      </c>
      <c r="B96" s="105">
        <v>-84678</v>
      </c>
      <c r="C96" s="98">
        <f t="shared" si="2"/>
        <v>895</v>
      </c>
      <c r="D96" s="10">
        <f t="shared" si="3"/>
        <v>-37893.404999999999</v>
      </c>
    </row>
    <row r="97" spans="1:4" x14ac:dyDescent="0.25">
      <c r="A97" s="33" t="s">
        <v>200</v>
      </c>
      <c r="B97" s="105">
        <v>6084194</v>
      </c>
      <c r="C97" s="98">
        <f t="shared" si="2"/>
        <v>895</v>
      </c>
      <c r="D97" s="10">
        <f t="shared" si="3"/>
        <v>2722676.8149999999</v>
      </c>
    </row>
    <row r="98" spans="1:4" x14ac:dyDescent="0.25">
      <c r="A98" s="33" t="s">
        <v>201</v>
      </c>
      <c r="B98" s="105">
        <v>-472884</v>
      </c>
      <c r="C98" s="98">
        <f t="shared" si="2"/>
        <v>895</v>
      </c>
      <c r="D98" s="10">
        <f t="shared" si="3"/>
        <v>-211615.59</v>
      </c>
    </row>
    <row r="99" spans="1:4" x14ac:dyDescent="0.25">
      <c r="A99" s="33" t="s">
        <v>175</v>
      </c>
      <c r="B99" s="105">
        <v>-116473</v>
      </c>
      <c r="C99" s="98">
        <f t="shared" si="2"/>
        <v>895</v>
      </c>
      <c r="D99" s="10">
        <f t="shared" si="3"/>
        <v>-52121.667500000003</v>
      </c>
    </row>
    <row r="100" spans="1:4" x14ac:dyDescent="0.25">
      <c r="A100" s="33" t="s">
        <v>374</v>
      </c>
      <c r="B100" s="105">
        <v>-392</v>
      </c>
      <c r="C100" s="98">
        <f t="shared" si="2"/>
        <v>895</v>
      </c>
      <c r="D100" s="10">
        <f t="shared" si="3"/>
        <v>-175.42</v>
      </c>
    </row>
    <row r="101" spans="1:4" x14ac:dyDescent="0.25">
      <c r="A101" s="33" t="s">
        <v>202</v>
      </c>
      <c r="B101" s="105">
        <v>-1</v>
      </c>
      <c r="C101" s="98">
        <f t="shared" si="2"/>
        <v>895</v>
      </c>
      <c r="D101" s="10">
        <f t="shared" si="3"/>
        <v>-0.44750000000000001</v>
      </c>
    </row>
    <row r="102" spans="1:4" x14ac:dyDescent="0.25">
      <c r="A102" s="33" t="s">
        <v>207</v>
      </c>
      <c r="B102" s="105">
        <v>-198956</v>
      </c>
      <c r="C102" s="98">
        <f t="shared" si="2"/>
        <v>895</v>
      </c>
      <c r="D102" s="10">
        <f t="shared" si="3"/>
        <v>-89032.81</v>
      </c>
    </row>
    <row r="103" spans="1:4" x14ac:dyDescent="0.25">
      <c r="A103" s="33" t="s">
        <v>176</v>
      </c>
      <c r="B103" s="105">
        <v>-342611</v>
      </c>
      <c r="C103" s="98">
        <f t="shared" si="2"/>
        <v>895</v>
      </c>
      <c r="D103" s="10">
        <f t="shared" si="3"/>
        <v>-153318.42249999999</v>
      </c>
    </row>
    <row r="104" spans="1:4" x14ac:dyDescent="0.25">
      <c r="A104" s="33" t="s">
        <v>208</v>
      </c>
      <c r="B104" s="105">
        <v>-4</v>
      </c>
      <c r="C104" s="98">
        <f t="shared" si="2"/>
        <v>895</v>
      </c>
      <c r="D104" s="10">
        <f t="shared" si="3"/>
        <v>-1.79</v>
      </c>
    </row>
    <row r="105" spans="1:4" x14ac:dyDescent="0.25">
      <c r="A105" s="33" t="s">
        <v>189</v>
      </c>
      <c r="B105" s="105">
        <v>-1101646</v>
      </c>
      <c r="C105" s="98">
        <f t="shared" si="2"/>
        <v>895</v>
      </c>
      <c r="D105" s="10">
        <f t="shared" si="3"/>
        <v>-492986.58500000002</v>
      </c>
    </row>
    <row r="106" spans="1:4" x14ac:dyDescent="0.25">
      <c r="A106" s="33" t="s">
        <v>212</v>
      </c>
      <c r="B106" s="105">
        <v>-8175</v>
      </c>
      <c r="C106" s="98">
        <f t="shared" si="2"/>
        <v>895</v>
      </c>
      <c r="D106" s="10">
        <f t="shared" si="3"/>
        <v>-3658.3125</v>
      </c>
    </row>
    <row r="107" spans="1:4" x14ac:dyDescent="0.25">
      <c r="A107" s="33" t="s">
        <v>213</v>
      </c>
      <c r="B107" s="105">
        <v>-3423</v>
      </c>
      <c r="C107" s="98">
        <f t="shared" si="2"/>
        <v>895</v>
      </c>
      <c r="D107" s="10">
        <f t="shared" si="3"/>
        <v>-1531.7925</v>
      </c>
    </row>
    <row r="108" spans="1:4" x14ac:dyDescent="0.25">
      <c r="A108" s="33" t="s">
        <v>214</v>
      </c>
      <c r="B108" s="105">
        <v>-10425</v>
      </c>
      <c r="C108" s="98">
        <f t="shared" si="2"/>
        <v>895</v>
      </c>
      <c r="D108" s="10">
        <f t="shared" si="3"/>
        <v>-4665.1875</v>
      </c>
    </row>
    <row r="109" spans="1:4" x14ac:dyDescent="0.25">
      <c r="A109" s="33" t="s">
        <v>177</v>
      </c>
      <c r="B109" s="105">
        <v>-7</v>
      </c>
      <c r="C109" s="98">
        <f t="shared" si="2"/>
        <v>895</v>
      </c>
      <c r="D109" s="10">
        <f t="shared" si="3"/>
        <v>-3.1324999999999998</v>
      </c>
    </row>
    <row r="110" spans="1:4" x14ac:dyDescent="0.25">
      <c r="A110" s="33" t="s">
        <v>215</v>
      </c>
      <c r="B110" s="34">
        <v>-2142</v>
      </c>
      <c r="C110" s="98">
        <f t="shared" ref="C110:C159" si="4">IF(B110&lt;&gt;0,$H$1,"")</f>
        <v>895</v>
      </c>
      <c r="D110" s="10">
        <f t="shared" ref="D110:D153" si="5">(+B110*C110)/2000</f>
        <v>-958.54499999999996</v>
      </c>
    </row>
    <row r="111" spans="1:4" x14ac:dyDescent="0.25">
      <c r="A111" s="33" t="s">
        <v>179</v>
      </c>
      <c r="B111" s="34">
        <v>-1946</v>
      </c>
      <c r="C111" s="98">
        <f t="shared" si="4"/>
        <v>895</v>
      </c>
      <c r="D111" s="10">
        <f t="shared" si="5"/>
        <v>-870.83500000000004</v>
      </c>
    </row>
    <row r="112" spans="1:4" x14ac:dyDescent="0.25">
      <c r="A112" s="33" t="s">
        <v>219</v>
      </c>
      <c r="B112" s="34">
        <v>-579047</v>
      </c>
      <c r="C112" s="98">
        <f t="shared" si="4"/>
        <v>895</v>
      </c>
      <c r="D112" s="10">
        <f t="shared" si="5"/>
        <v>-259123.5325</v>
      </c>
    </row>
    <row r="113" spans="1:4" x14ac:dyDescent="0.25">
      <c r="A113" s="33" t="s">
        <v>223</v>
      </c>
      <c r="B113" s="34">
        <v>-57965</v>
      </c>
      <c r="C113" s="98">
        <f t="shared" si="4"/>
        <v>895</v>
      </c>
      <c r="D113" s="10">
        <f t="shared" si="5"/>
        <v>-25939.337500000001</v>
      </c>
    </row>
    <row r="114" spans="1:4" x14ac:dyDescent="0.25">
      <c r="A114" s="33" t="s">
        <v>190</v>
      </c>
      <c r="B114" s="34">
        <v>-80680</v>
      </c>
      <c r="C114" s="98">
        <f t="shared" si="4"/>
        <v>895</v>
      </c>
      <c r="D114" s="10">
        <f t="shared" si="5"/>
        <v>-36104.300000000003</v>
      </c>
    </row>
    <row r="115" spans="1:4" x14ac:dyDescent="0.25">
      <c r="A115" s="33" t="s">
        <v>375</v>
      </c>
      <c r="B115" s="34">
        <v>-73</v>
      </c>
      <c r="C115" s="98">
        <f t="shared" si="4"/>
        <v>895</v>
      </c>
      <c r="D115" s="10">
        <f t="shared" si="5"/>
        <v>-32.667499999999997</v>
      </c>
    </row>
    <row r="116" spans="1:4" x14ac:dyDescent="0.25">
      <c r="A116" s="33" t="s">
        <v>230</v>
      </c>
      <c r="B116" s="34">
        <v>-540807</v>
      </c>
      <c r="C116" s="98">
        <f t="shared" si="4"/>
        <v>895</v>
      </c>
      <c r="D116" s="10">
        <f t="shared" si="5"/>
        <v>-242011.13250000001</v>
      </c>
    </row>
    <row r="117" spans="1:4" x14ac:dyDescent="0.25">
      <c r="A117" s="33" t="s">
        <v>232</v>
      </c>
      <c r="B117" s="34">
        <v>-50200</v>
      </c>
      <c r="C117" s="98">
        <f t="shared" si="4"/>
        <v>895</v>
      </c>
      <c r="D117" s="10">
        <f t="shared" si="5"/>
        <v>-22464.5</v>
      </c>
    </row>
    <row r="118" spans="1:4" x14ac:dyDescent="0.25">
      <c r="A118" s="33" t="s">
        <v>180</v>
      </c>
      <c r="B118" s="34">
        <v>-419966</v>
      </c>
      <c r="C118" s="98">
        <f t="shared" si="4"/>
        <v>895</v>
      </c>
      <c r="D118" s="10">
        <f t="shared" si="5"/>
        <v>-187934.785</v>
      </c>
    </row>
    <row r="119" spans="1:4" x14ac:dyDescent="0.25">
      <c r="A119" s="33" t="s">
        <v>246</v>
      </c>
      <c r="B119" s="34">
        <v>-22</v>
      </c>
      <c r="C119" s="98">
        <f t="shared" si="4"/>
        <v>895</v>
      </c>
      <c r="D119" s="10">
        <f t="shared" si="5"/>
        <v>-9.8450000000000006</v>
      </c>
    </row>
    <row r="120" spans="1:4" x14ac:dyDescent="0.25">
      <c r="A120" s="33" t="s">
        <v>291</v>
      </c>
      <c r="B120" s="34">
        <v>-116</v>
      </c>
      <c r="C120" s="98">
        <f t="shared" si="4"/>
        <v>895</v>
      </c>
      <c r="D120" s="10">
        <f t="shared" si="5"/>
        <v>-51.91</v>
      </c>
    </row>
    <row r="121" spans="1:4" x14ac:dyDescent="0.25">
      <c r="A121" s="33" t="s">
        <v>248</v>
      </c>
      <c r="B121" s="34">
        <v>-2575</v>
      </c>
      <c r="C121" s="98">
        <f t="shared" si="4"/>
        <v>895</v>
      </c>
      <c r="D121" s="10">
        <f t="shared" si="5"/>
        <v>-1152.3125</v>
      </c>
    </row>
    <row r="122" spans="1:4" x14ac:dyDescent="0.25">
      <c r="A122" s="33" t="s">
        <v>250</v>
      </c>
      <c r="B122" s="34">
        <v>-400</v>
      </c>
      <c r="C122" s="98">
        <f t="shared" si="4"/>
        <v>895</v>
      </c>
      <c r="D122" s="10">
        <f t="shared" si="5"/>
        <v>-179</v>
      </c>
    </row>
    <row r="123" spans="1:4" x14ac:dyDescent="0.25">
      <c r="A123" s="33" t="s">
        <v>252</v>
      </c>
      <c r="B123" s="34">
        <v>-47355</v>
      </c>
      <c r="C123" s="98">
        <f t="shared" si="4"/>
        <v>895</v>
      </c>
      <c r="D123" s="10">
        <f t="shared" si="5"/>
        <v>-21191.362499999999</v>
      </c>
    </row>
    <row r="124" spans="1:4" x14ac:dyDescent="0.25">
      <c r="A124" s="33" t="s">
        <v>254</v>
      </c>
      <c r="B124" s="34">
        <v>-8030</v>
      </c>
      <c r="C124" s="98">
        <f t="shared" si="4"/>
        <v>895</v>
      </c>
      <c r="D124" s="10">
        <f t="shared" si="5"/>
        <v>-3593.4250000000002</v>
      </c>
    </row>
    <row r="125" spans="1:4" x14ac:dyDescent="0.25">
      <c r="A125" s="33" t="s">
        <v>257</v>
      </c>
      <c r="B125" s="34">
        <v>-213391</v>
      </c>
      <c r="C125" s="98">
        <f t="shared" si="4"/>
        <v>895</v>
      </c>
      <c r="D125" s="10">
        <f t="shared" si="5"/>
        <v>-95492.472500000003</v>
      </c>
    </row>
    <row r="126" spans="1:4" x14ac:dyDescent="0.25">
      <c r="A126" s="33" t="s">
        <v>261</v>
      </c>
      <c r="B126" s="34">
        <v>-302064</v>
      </c>
      <c r="C126" s="98">
        <f t="shared" si="4"/>
        <v>895</v>
      </c>
      <c r="D126" s="10">
        <f t="shared" si="5"/>
        <v>-135173.64000000001</v>
      </c>
    </row>
    <row r="127" spans="1:4" x14ac:dyDescent="0.25">
      <c r="A127" s="33" t="s">
        <v>183</v>
      </c>
      <c r="B127" s="34">
        <v>-395006</v>
      </c>
      <c r="C127" s="98">
        <f t="shared" si="4"/>
        <v>895</v>
      </c>
      <c r="D127" s="10">
        <f t="shared" si="5"/>
        <v>-176765.185</v>
      </c>
    </row>
    <row r="128" spans="1:4" x14ac:dyDescent="0.25">
      <c r="A128" s="33" t="s">
        <v>263</v>
      </c>
      <c r="B128" s="34">
        <v>-186595</v>
      </c>
      <c r="C128" s="98">
        <f t="shared" si="4"/>
        <v>895</v>
      </c>
      <c r="D128" s="10">
        <f t="shared" si="5"/>
        <v>-83501.262499999997</v>
      </c>
    </row>
    <row r="129" spans="1:4" x14ac:dyDescent="0.25">
      <c r="A129" s="33" t="s">
        <v>264</v>
      </c>
      <c r="B129" s="34">
        <v>-21444</v>
      </c>
      <c r="C129" s="98">
        <f t="shared" si="4"/>
        <v>895</v>
      </c>
      <c r="D129" s="10">
        <f t="shared" si="5"/>
        <v>-9596.19</v>
      </c>
    </row>
    <row r="130" spans="1:4" x14ac:dyDescent="0.25">
      <c r="A130" s="33" t="s">
        <v>266</v>
      </c>
      <c r="B130" s="34">
        <v>-10</v>
      </c>
      <c r="C130" s="98">
        <f t="shared" si="4"/>
        <v>895</v>
      </c>
      <c r="D130" s="10">
        <f t="shared" si="5"/>
        <v>-4.4749999999999996</v>
      </c>
    </row>
    <row r="131" spans="1:4" x14ac:dyDescent="0.25">
      <c r="A131" s="33" t="s">
        <v>184</v>
      </c>
      <c r="B131" s="34">
        <v>-30489</v>
      </c>
      <c r="C131" s="98">
        <f t="shared" si="4"/>
        <v>895</v>
      </c>
      <c r="D131" s="10">
        <f t="shared" si="5"/>
        <v>-13643.827499999999</v>
      </c>
    </row>
    <row r="132" spans="1:4" x14ac:dyDescent="0.25">
      <c r="A132" s="33" t="s">
        <v>185</v>
      </c>
      <c r="B132" s="34">
        <v>-356872</v>
      </c>
      <c r="C132" s="98">
        <f t="shared" si="4"/>
        <v>895</v>
      </c>
      <c r="D132" s="10">
        <f t="shared" si="5"/>
        <v>-159700.22</v>
      </c>
    </row>
    <row r="133" spans="1:4" x14ac:dyDescent="0.25">
      <c r="A133" s="33" t="s">
        <v>272</v>
      </c>
      <c r="B133" s="34">
        <v>-8210</v>
      </c>
      <c r="C133" s="98">
        <f t="shared" si="4"/>
        <v>895</v>
      </c>
      <c r="D133" s="10">
        <f t="shared" si="5"/>
        <v>-3673.9749999999999</v>
      </c>
    </row>
    <row r="134" spans="1:4" x14ac:dyDescent="0.25">
      <c r="A134" s="33" t="s">
        <v>186</v>
      </c>
      <c r="B134" s="34">
        <v>-25904</v>
      </c>
      <c r="C134" s="98">
        <f t="shared" si="4"/>
        <v>895</v>
      </c>
      <c r="D134" s="10">
        <f t="shared" si="5"/>
        <v>-11592.04</v>
      </c>
    </row>
    <row r="135" spans="1:4" x14ac:dyDescent="0.25">
      <c r="A135" s="33" t="s">
        <v>276</v>
      </c>
      <c r="B135" s="34">
        <v>-67154</v>
      </c>
      <c r="C135" s="98">
        <f t="shared" si="4"/>
        <v>895</v>
      </c>
      <c r="D135" s="10">
        <f t="shared" si="5"/>
        <v>-30051.415000000001</v>
      </c>
    </row>
    <row r="136" spans="1:4" x14ac:dyDescent="0.25">
      <c r="A136" s="33" t="s">
        <v>278</v>
      </c>
      <c r="B136" s="34">
        <v>-17</v>
      </c>
      <c r="C136" s="98">
        <f t="shared" si="4"/>
        <v>895</v>
      </c>
      <c r="D136" s="10">
        <f t="shared" si="5"/>
        <v>-7.6074999999999999</v>
      </c>
    </row>
    <row r="137" spans="1:4" x14ac:dyDescent="0.25">
      <c r="A137" s="33" t="s">
        <v>279</v>
      </c>
      <c r="B137" s="34">
        <v>-45801</v>
      </c>
      <c r="C137" s="98">
        <f t="shared" si="4"/>
        <v>895</v>
      </c>
      <c r="D137" s="10">
        <f t="shared" si="5"/>
        <v>-20495.947499999998</v>
      </c>
    </row>
    <row r="138" spans="1:4" x14ac:dyDescent="0.25">
      <c r="A138" s="33" t="s">
        <v>341</v>
      </c>
      <c r="B138" s="34">
        <v>-2206</v>
      </c>
      <c r="C138" s="98">
        <f t="shared" si="4"/>
        <v>895</v>
      </c>
      <c r="D138" s="10">
        <f t="shared" si="5"/>
        <v>-987.18499999999995</v>
      </c>
    </row>
    <row r="139" spans="1:4" x14ac:dyDescent="0.25">
      <c r="A139" s="33" t="s">
        <v>188</v>
      </c>
      <c r="B139" s="34">
        <v>-431647</v>
      </c>
      <c r="C139" s="98">
        <f t="shared" si="4"/>
        <v>895</v>
      </c>
      <c r="D139" s="10">
        <f t="shared" si="5"/>
        <v>-193162.0325</v>
      </c>
    </row>
    <row r="140" spans="1:4" x14ac:dyDescent="0.25">
      <c r="A140" s="33" t="s">
        <v>281</v>
      </c>
      <c r="B140" s="34">
        <v>-9917</v>
      </c>
      <c r="C140" s="98">
        <f t="shared" si="4"/>
        <v>895</v>
      </c>
      <c r="D140" s="10">
        <f t="shared" si="5"/>
        <v>-4437.8575000000001</v>
      </c>
    </row>
    <row r="141" spans="1:4" x14ac:dyDescent="0.25">
      <c r="A141" s="33" t="s">
        <v>284</v>
      </c>
      <c r="B141" s="34">
        <v>-155</v>
      </c>
      <c r="C141" s="98">
        <f t="shared" si="4"/>
        <v>895</v>
      </c>
      <c r="D141" s="10">
        <f t="shared" si="5"/>
        <v>-69.362499999999997</v>
      </c>
    </row>
    <row r="142" spans="1:4" x14ac:dyDescent="0.25">
      <c r="A142" s="33" t="s">
        <v>286</v>
      </c>
      <c r="B142" s="34">
        <v>-2338954</v>
      </c>
      <c r="C142" s="98">
        <f t="shared" si="4"/>
        <v>895</v>
      </c>
      <c r="D142" s="10">
        <f t="shared" si="5"/>
        <v>-1046681.915</v>
      </c>
    </row>
    <row r="143" spans="1:4" x14ac:dyDescent="0.25">
      <c r="A143" s="33" t="s">
        <v>376</v>
      </c>
      <c r="B143" s="34">
        <v>-9323.1589999999997</v>
      </c>
      <c r="C143" s="98">
        <f t="shared" si="4"/>
        <v>895</v>
      </c>
      <c r="D143" s="10">
        <f t="shared" si="5"/>
        <v>-4172.1136525000002</v>
      </c>
    </row>
    <row r="144" spans="1:4" x14ac:dyDescent="0.25">
      <c r="A144" s="33" t="s">
        <v>299</v>
      </c>
      <c r="B144" s="34">
        <v>-2843.7759999999998</v>
      </c>
      <c r="C144" s="98">
        <f t="shared" si="4"/>
        <v>895</v>
      </c>
      <c r="D144" s="10">
        <f t="shared" si="5"/>
        <v>-1272.5897600000001</v>
      </c>
    </row>
    <row r="145" spans="1:4" x14ac:dyDescent="0.25">
      <c r="A145" s="33" t="s">
        <v>300</v>
      </c>
      <c r="B145" s="34">
        <v>-16342.677</v>
      </c>
      <c r="C145" s="98">
        <f t="shared" si="4"/>
        <v>895</v>
      </c>
      <c r="D145" s="10">
        <f t="shared" si="5"/>
        <v>-7313.3479574999992</v>
      </c>
    </row>
    <row r="146" spans="1:4" x14ac:dyDescent="0.25">
      <c r="A146" s="33" t="s">
        <v>378</v>
      </c>
      <c r="B146" s="34">
        <v>-4186.3710000000001</v>
      </c>
      <c r="C146" s="98">
        <f t="shared" si="4"/>
        <v>895</v>
      </c>
      <c r="D146" s="10">
        <f t="shared" si="5"/>
        <v>-1873.4010225</v>
      </c>
    </row>
    <row r="147" spans="1:4" x14ac:dyDescent="0.25">
      <c r="A147" s="33" t="s">
        <v>304</v>
      </c>
      <c r="B147" s="34">
        <v>-814.09199999999998</v>
      </c>
      <c r="C147" s="98">
        <f t="shared" si="4"/>
        <v>895</v>
      </c>
      <c r="D147" s="10">
        <f t="shared" si="5"/>
        <v>-364.30617000000001</v>
      </c>
    </row>
    <row r="148" spans="1:4" x14ac:dyDescent="0.25">
      <c r="A148" s="33" t="s">
        <v>305</v>
      </c>
      <c r="B148" s="34">
        <v>-12077.076999999999</v>
      </c>
      <c r="C148" s="98">
        <f t="shared" si="4"/>
        <v>895</v>
      </c>
      <c r="D148" s="10">
        <f t="shared" si="5"/>
        <v>-5404.4919574999994</v>
      </c>
    </row>
    <row r="149" spans="1:4" x14ac:dyDescent="0.25">
      <c r="A149" s="33" t="s">
        <v>379</v>
      </c>
      <c r="B149" s="34">
        <v>-53227.61</v>
      </c>
      <c r="C149" s="98">
        <f t="shared" si="4"/>
        <v>895</v>
      </c>
      <c r="D149" s="10">
        <f t="shared" si="5"/>
        <v>-23819.355475</v>
      </c>
    </row>
    <row r="150" spans="1:4" x14ac:dyDescent="0.25">
      <c r="A150" s="33" t="s">
        <v>308</v>
      </c>
      <c r="B150" s="34">
        <v>-4347.84</v>
      </c>
      <c r="C150" s="98">
        <f t="shared" si="4"/>
        <v>895</v>
      </c>
      <c r="D150" s="10">
        <f t="shared" si="5"/>
        <v>-1945.6584</v>
      </c>
    </row>
    <row r="151" spans="1:4" x14ac:dyDescent="0.25">
      <c r="A151" s="33" t="s">
        <v>309</v>
      </c>
      <c r="B151" s="34">
        <v>-4270.8140000000003</v>
      </c>
      <c r="C151" s="98">
        <f t="shared" si="4"/>
        <v>895</v>
      </c>
      <c r="D151" s="10">
        <f t="shared" si="5"/>
        <v>-1911.1892650000002</v>
      </c>
    </row>
    <row r="152" spans="1:4" x14ac:dyDescent="0.25">
      <c r="A152" s="33" t="s">
        <v>297</v>
      </c>
      <c r="B152" s="34">
        <v>-13213.305</v>
      </c>
      <c r="C152" s="98">
        <f t="shared" si="4"/>
        <v>895</v>
      </c>
      <c r="D152" s="10">
        <f t="shared" si="5"/>
        <v>-5912.9539875</v>
      </c>
    </row>
    <row r="153" spans="1:4" x14ac:dyDescent="0.25">
      <c r="A153" s="33" t="s">
        <v>310</v>
      </c>
      <c r="B153" s="34">
        <v>-1041.556</v>
      </c>
      <c r="C153" s="98">
        <f t="shared" si="4"/>
        <v>895</v>
      </c>
      <c r="D153" s="10">
        <f t="shared" si="5"/>
        <v>-466.09631000000002</v>
      </c>
    </row>
    <row r="154" spans="1:4" x14ac:dyDescent="0.25">
      <c r="A154" s="33"/>
      <c r="B154" s="34"/>
      <c r="C154" s="98" t="str">
        <f t="shared" si="4"/>
        <v/>
      </c>
      <c r="D154" s="10"/>
    </row>
    <row r="155" spans="1:4" x14ac:dyDescent="0.25">
      <c r="A155" s="33"/>
      <c r="B155" s="34"/>
      <c r="C155" s="98" t="str">
        <f t="shared" si="4"/>
        <v/>
      </c>
      <c r="D155" s="10"/>
    </row>
    <row r="156" spans="1:4" x14ac:dyDescent="0.25">
      <c r="A156" s="33"/>
      <c r="B156" s="34"/>
      <c r="C156" s="98" t="str">
        <f t="shared" si="4"/>
        <v/>
      </c>
      <c r="D156" s="10"/>
    </row>
    <row r="157" spans="1:4" x14ac:dyDescent="0.25">
      <c r="A157" s="33"/>
      <c r="B157" s="34"/>
      <c r="C157" s="98" t="str">
        <f t="shared" si="4"/>
        <v/>
      </c>
      <c r="D157" s="10"/>
    </row>
    <row r="158" spans="1:4" x14ac:dyDescent="0.25">
      <c r="A158" s="33"/>
      <c r="B158" s="34"/>
      <c r="C158" s="98" t="str">
        <f t="shared" si="4"/>
        <v/>
      </c>
      <c r="D158" s="10"/>
    </row>
    <row r="159" spans="1:4" x14ac:dyDescent="0.25">
      <c r="A159" s="33"/>
      <c r="B159" s="34"/>
      <c r="C159" s="98" t="str">
        <f t="shared" si="4"/>
        <v/>
      </c>
      <c r="D159" s="10"/>
    </row>
    <row r="160" spans="1:4" x14ac:dyDescent="0.25">
      <c r="A160" s="33"/>
      <c r="B160" s="34"/>
      <c r="C160" s="98" t="str">
        <f t="shared" si="2"/>
        <v/>
      </c>
      <c r="D160" s="10"/>
    </row>
    <row r="161" spans="1:4" ht="15.75" thickBot="1" x14ac:dyDescent="0.3">
      <c r="A161" s="36"/>
      <c r="B161" s="37"/>
      <c r="C161" s="15"/>
      <c r="D161" s="16"/>
    </row>
    <row r="162" spans="1:4" ht="16.5" thickTop="1" thickBot="1" x14ac:dyDescent="0.3">
      <c r="A162" s="13"/>
      <c r="B162" s="97">
        <f>SUM(B4:B161)</f>
        <v>4166128.753</v>
      </c>
      <c r="C162" s="14"/>
      <c r="D162" s="97">
        <f>SUM(D4:D161)</f>
        <v>1864342.6169674986</v>
      </c>
    </row>
  </sheetData>
  <hyperlinks>
    <hyperlink ref="D1" r:id="rId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F11" sqref="F11"/>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11</v>
      </c>
    </row>
    <row r="2" spans="1:7" thickBot="1" x14ac:dyDescent="0.35"/>
    <row r="3" spans="1:7" ht="14.45" x14ac:dyDescent="0.3">
      <c r="A3" s="63"/>
      <c r="B3" s="64" t="s">
        <v>15</v>
      </c>
      <c r="C3" s="65" t="s">
        <v>25</v>
      </c>
      <c r="D3" s="69"/>
      <c r="E3" s="67"/>
    </row>
    <row r="4" spans="1:7" ht="14.45" x14ac:dyDescent="0.3">
      <c r="A4" s="235" t="s">
        <v>16</v>
      </c>
      <c r="B4" s="237"/>
      <c r="C4" s="38">
        <v>2015</v>
      </c>
      <c r="D4" s="72" t="s">
        <v>40</v>
      </c>
      <c r="E4" s="68"/>
    </row>
    <row r="5" spans="1:7" thickBot="1" x14ac:dyDescent="0.35">
      <c r="A5" s="238" t="s">
        <v>21</v>
      </c>
      <c r="B5" s="239"/>
      <c r="C5" s="78">
        <f>+F10*'Census Stats'!$L$38</f>
        <v>2418978.85192273</v>
      </c>
      <c r="D5" s="66">
        <f>+D13/C5</f>
        <v>8.4786888416563748</v>
      </c>
    </row>
    <row r="6" spans="1:7" ht="14.45" x14ac:dyDescent="0.3">
      <c r="A6" s="6"/>
      <c r="B6" s="6"/>
      <c r="C6" s="23"/>
      <c r="E6" s="22"/>
    </row>
    <row r="7" spans="1:7" ht="18.600000000000001" thickBot="1" x14ac:dyDescent="0.4">
      <c r="A7" s="6"/>
      <c r="B7" s="61" t="s">
        <v>36</v>
      </c>
      <c r="C7" s="23"/>
      <c r="E7" s="22"/>
    </row>
    <row r="8" spans="1:7" ht="14.45" x14ac:dyDescent="0.3">
      <c r="A8" s="43"/>
      <c r="B8" s="44"/>
      <c r="C8" s="44"/>
      <c r="D8" s="44"/>
      <c r="E8" s="44"/>
      <c r="F8" s="45" t="s">
        <v>20</v>
      </c>
      <c r="G8" s="56" t="s">
        <v>41</v>
      </c>
    </row>
    <row r="9" spans="1:7" ht="14.45" x14ac:dyDescent="0.3">
      <c r="A9" s="46"/>
      <c r="B9" s="18"/>
      <c r="C9" s="18"/>
      <c r="D9" s="20" t="s">
        <v>14</v>
      </c>
      <c r="E9" s="32" t="s">
        <v>28</v>
      </c>
      <c r="F9" s="25" t="s">
        <v>35</v>
      </c>
      <c r="G9" s="57" t="s">
        <v>20</v>
      </c>
    </row>
    <row r="10" spans="1:7" ht="14.45" x14ac:dyDescent="0.3">
      <c r="A10" s="235" t="s">
        <v>12</v>
      </c>
      <c r="B10" s="236"/>
      <c r="C10" s="237"/>
      <c r="D10" s="70">
        <v>10164709</v>
      </c>
      <c r="E10" s="19">
        <f>+D10/D13</f>
        <v>0.49560329031497136</v>
      </c>
      <c r="F10" s="42">
        <v>970830</v>
      </c>
      <c r="G10" s="58">
        <f>+D10/F10</f>
        <v>10.47012247252351</v>
      </c>
    </row>
    <row r="11" spans="1:7" ht="14.45" x14ac:dyDescent="0.3">
      <c r="A11" s="235" t="s">
        <v>17</v>
      </c>
      <c r="B11" s="236"/>
      <c r="C11" s="237"/>
      <c r="D11" s="70">
        <f>88035+8999067</f>
        <v>9087102</v>
      </c>
      <c r="E11" s="19">
        <f>+D11/D13</f>
        <v>0.44306213297672931</v>
      </c>
      <c r="F11" s="34">
        <f>123072+6275</f>
        <v>129347</v>
      </c>
      <c r="G11" s="58">
        <f>+D11/F11</f>
        <v>70.253674225146312</v>
      </c>
    </row>
    <row r="12" spans="1:7" ht="14.45" x14ac:dyDescent="0.3">
      <c r="A12" s="235" t="s">
        <v>18</v>
      </c>
      <c r="B12" s="236"/>
      <c r="C12" s="237"/>
      <c r="D12" s="70">
        <v>1257958</v>
      </c>
      <c r="E12" s="19">
        <f>+D12/D13</f>
        <v>6.1334576708299345E-2</v>
      </c>
      <c r="F12" s="6"/>
      <c r="G12" s="47"/>
    </row>
    <row r="13" spans="1:7" thickBot="1" x14ac:dyDescent="0.35">
      <c r="A13" s="48"/>
      <c r="B13" s="240" t="s">
        <v>13</v>
      </c>
      <c r="C13" s="239"/>
      <c r="D13" s="71">
        <f>SUM(D10:D12)</f>
        <v>20509769</v>
      </c>
      <c r="E13" s="49"/>
      <c r="F13" s="50"/>
      <c r="G13" s="51"/>
    </row>
    <row r="15" spans="1:7" ht="18.600000000000001" thickBot="1" x14ac:dyDescent="0.4">
      <c r="B15" s="62" t="s">
        <v>37</v>
      </c>
    </row>
    <row r="16" spans="1:7" x14ac:dyDescent="0.25">
      <c r="A16" s="43"/>
      <c r="B16" s="44"/>
      <c r="C16" s="44"/>
      <c r="D16" s="44"/>
      <c r="E16" s="45" t="s">
        <v>29</v>
      </c>
      <c r="F16" s="52" t="s">
        <v>5</v>
      </c>
      <c r="G16" s="53"/>
    </row>
    <row r="17" spans="1:9" ht="18" x14ac:dyDescent="0.35">
      <c r="A17" s="54"/>
      <c r="B17" s="6"/>
      <c r="C17" s="6"/>
      <c r="D17" s="32" t="s">
        <v>19</v>
      </c>
      <c r="E17" s="25" t="s">
        <v>30</v>
      </c>
      <c r="F17" s="21" t="s">
        <v>8</v>
      </c>
      <c r="G17" s="47"/>
    </row>
    <row r="18" spans="1:9" ht="15.75" thickBot="1" x14ac:dyDescent="0.3">
      <c r="A18" s="235" t="s">
        <v>33</v>
      </c>
      <c r="B18" s="236"/>
      <c r="C18" s="237"/>
      <c r="D18" s="10">
        <f>'2015 Known'!B64</f>
        <v>18066615.381000001</v>
      </c>
      <c r="E18" s="19">
        <f>+D18/(D18+D19)</f>
        <v>0.82005991757289676</v>
      </c>
      <c r="F18" s="10">
        <f>'2015 Known'!D64</f>
        <v>9793360.6221360993</v>
      </c>
      <c r="G18" s="47"/>
    </row>
    <row r="19" spans="1:9" ht="18" x14ac:dyDescent="0.35">
      <c r="A19" s="235" t="s">
        <v>34</v>
      </c>
      <c r="B19" s="236"/>
      <c r="C19" s="237"/>
      <c r="D19" s="59">
        <f>'2015 Unknown'!B113</f>
        <v>3964232.602</v>
      </c>
      <c r="E19" s="60">
        <f>+D19/(D18+D19)</f>
        <v>0.17994008242710316</v>
      </c>
      <c r="F19" s="74">
        <f>'2015 Unknown'!D113</f>
        <v>2128792.9072739994</v>
      </c>
      <c r="G19" s="76" t="s">
        <v>39</v>
      </c>
    </row>
    <row r="20" spans="1:9" ht="18.75" thickBot="1" x14ac:dyDescent="0.4">
      <c r="A20" s="48"/>
      <c r="B20" s="50"/>
      <c r="C20" s="50"/>
      <c r="D20" s="73">
        <f>+C4</f>
        <v>2015</v>
      </c>
      <c r="E20" s="55" t="s">
        <v>4</v>
      </c>
      <c r="F20" s="75">
        <f>SUM(F18:F19)</f>
        <v>11922153.529410098</v>
      </c>
      <c r="G20" s="77">
        <f>+F20/G22</f>
        <v>1.7163898186671038</v>
      </c>
      <c r="I20" s="106"/>
    </row>
    <row r="22" spans="1:9" ht="18" x14ac:dyDescent="0.35">
      <c r="F22" s="24" t="s">
        <v>27</v>
      </c>
      <c r="G22" s="34">
        <f>+G29</f>
        <v>6946064</v>
      </c>
      <c r="H22" s="31"/>
    </row>
    <row r="24" spans="1:9" x14ac:dyDescent="0.25">
      <c r="E24" s="31" t="s">
        <v>22</v>
      </c>
      <c r="F24" s="26"/>
      <c r="G24" s="26"/>
    </row>
    <row r="25" spans="1:9" x14ac:dyDescent="0.25">
      <c r="E25" s="26"/>
      <c r="F25" s="26"/>
      <c r="G25" s="29" t="s">
        <v>26</v>
      </c>
    </row>
    <row r="26" spans="1:9" ht="18" x14ac:dyDescent="0.35">
      <c r="E26" s="26"/>
      <c r="F26" s="26"/>
      <c r="G26" s="30" t="s">
        <v>3</v>
      </c>
    </row>
    <row r="27" spans="1:9" x14ac:dyDescent="0.25">
      <c r="E27" s="26"/>
      <c r="F27" s="27" t="s">
        <v>23</v>
      </c>
      <c r="G27" s="28">
        <v>1131957</v>
      </c>
    </row>
    <row r="28" spans="1:9" x14ac:dyDescent="0.25">
      <c r="E28" s="26"/>
      <c r="F28" s="27" t="s">
        <v>24</v>
      </c>
      <c r="G28" s="28">
        <v>2399078</v>
      </c>
    </row>
    <row r="29" spans="1:9" x14ac:dyDescent="0.25">
      <c r="E29" s="26"/>
      <c r="F29" s="27" t="s">
        <v>25</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64C017C3EC0604BB7924903D5DD4A34" ma:contentTypeVersion="76" ma:contentTypeDescription="" ma:contentTypeScope="" ma:versionID="446d8a3cc1d55fb07b35ab37d294ca6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2018-06-01T07:00:00+00:00</OpenedDate>
    <SignificantOrder xmlns="dc463f71-b30c-4ab2-9473-d307f9d35888">false</SignificantOrder>
    <Date1 xmlns="dc463f71-b30c-4ab2-9473-d307f9d35888">2018-06-01T07:00:00+00:00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180526</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FC254DB-8EF0-402F-B84C-C82DA20B0B21}"/>
</file>

<file path=customXml/itemProps2.xml><?xml version="1.0" encoding="utf-8"?>
<ds:datastoreItem xmlns:ds="http://schemas.openxmlformats.org/officeDocument/2006/customXml" ds:itemID="{42588F8E-8FEF-40AE-AB3B-7C9F18ACD6BB}"/>
</file>

<file path=customXml/itemProps3.xml><?xml version="1.0" encoding="utf-8"?>
<ds:datastoreItem xmlns:ds="http://schemas.openxmlformats.org/officeDocument/2006/customXml" ds:itemID="{A44C55EE-FB30-4B5F-9126-2F492D24CC40}"/>
</file>

<file path=customXml/itemProps4.xml><?xml version="1.0" encoding="utf-8"?>
<ds:datastoreItem xmlns:ds="http://schemas.openxmlformats.org/officeDocument/2006/customXml" ds:itemID="{51C5DCD5-83E9-45C3-9F84-50D06312A6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Charts</vt:lpstr>
      </vt:variant>
      <vt:variant>
        <vt:i4>3</vt:i4>
      </vt:variant>
    </vt:vector>
  </HeadingPairs>
  <TitlesOfParts>
    <vt:vector size="43" baseType="lpstr">
      <vt:lpstr>Chart Data</vt:lpstr>
      <vt:lpstr>2017 Summary</vt:lpstr>
      <vt:lpstr>2017 Known</vt:lpstr>
      <vt:lpstr>2017 Unknown - Net by</vt:lpstr>
      <vt:lpstr>2016 Summary</vt:lpstr>
      <vt:lpstr>2016 Known</vt:lpstr>
      <vt:lpstr>2016 Unknown - Net by</vt:lpstr>
      <vt:lpstr>2016 Unknown</vt:lpstr>
      <vt:lpstr>2015 Summary</vt:lpstr>
      <vt:lpstr>2015 Known</vt:lpstr>
      <vt:lpstr>2015 Unknown</vt:lpstr>
      <vt:lpstr>2014 Summary</vt:lpstr>
      <vt:lpstr>2014 Known</vt:lpstr>
      <vt:lpstr>2014 Unknown</vt:lpstr>
      <vt:lpstr>2013 Summary</vt:lpstr>
      <vt:lpstr>2013 Known</vt:lpstr>
      <vt:lpstr>2013 Unknown</vt:lpstr>
      <vt:lpstr>2012 Summary</vt:lpstr>
      <vt:lpstr>2012 Known</vt:lpstr>
      <vt:lpstr>2012 Unknown</vt:lpstr>
      <vt:lpstr>2011 Summary</vt:lpstr>
      <vt:lpstr>2011 Known</vt:lpstr>
      <vt:lpstr>2011 Unknown</vt:lpstr>
      <vt:lpstr>2010 Summary</vt:lpstr>
      <vt:lpstr>2010 Known</vt:lpstr>
      <vt:lpstr>2010 Unknown</vt:lpstr>
      <vt:lpstr>2009 Summary</vt:lpstr>
      <vt:lpstr>2009 Known</vt:lpstr>
      <vt:lpstr>2009 Unknown</vt:lpstr>
      <vt:lpstr>2008 Summary</vt:lpstr>
      <vt:lpstr>2008 Known</vt:lpstr>
      <vt:lpstr>2008 Unknown</vt:lpstr>
      <vt:lpstr>2007 Summary</vt:lpstr>
      <vt:lpstr>2007 Known</vt:lpstr>
      <vt:lpstr>2007 Unknown</vt:lpstr>
      <vt:lpstr>2006 Summary</vt:lpstr>
      <vt:lpstr>2006 Known</vt:lpstr>
      <vt:lpstr>2006 Unknown</vt:lpstr>
      <vt:lpstr>Census Stats</vt:lpstr>
      <vt:lpstr>Census Stats for 2016</vt:lpstr>
      <vt:lpstr>Chart Energy Intensity Metrics</vt:lpstr>
      <vt:lpstr>Chart Ratio Annual to 1990</vt:lpstr>
      <vt:lpstr>Chart Unknown Energy &amp; CO2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David (UTC)</dc:creator>
  <cp:lastModifiedBy>Puget Sound Energy</cp:lastModifiedBy>
  <cp:lastPrinted>2018-05-03T16:20:31Z</cp:lastPrinted>
  <dcterms:created xsi:type="dcterms:W3CDTF">2016-02-08T23:38:12Z</dcterms:created>
  <dcterms:modified xsi:type="dcterms:W3CDTF">2018-05-29T18:26:09Z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0x0101006E56B4D1795A2E4DB2F0B01679ED314A00664C017C3EC0604BB7924903D5DD4A34</vt:lpwstr>
  </property>
  <property fmtid="{D5CDD505-2E9C-101B-9397-08002B2CF9AE}" pid="3" name="_docset_NoMedatataSyncRequired">
    <vt:lpwstr>False</vt:lpwstr>
  </property>
  <property fmtid="{D5CDD505-2E9C-101B-9397-08002B2CF9AE}" pid="4" name="IsEFSEC">
    <vt:bool>false</vt:bool>
  </property>
</Properties>
</file>