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6" i="3" l="1"/>
  <c r="G7" i="3"/>
  <c r="G8" i="3"/>
  <c r="G17" i="3"/>
  <c r="G22" i="3"/>
  <c r="G25" i="3"/>
  <c r="G27" i="3"/>
  <c r="G29" i="3"/>
  <c r="G32" i="3"/>
  <c r="G33" i="3"/>
  <c r="G38" i="3"/>
  <c r="G39" i="3"/>
  <c r="G45" i="3"/>
  <c r="G47" i="3"/>
  <c r="G48" i="3"/>
  <c r="G53" i="3"/>
  <c r="G57" i="3"/>
  <c r="G59" i="3"/>
  <c r="G60" i="3"/>
  <c r="G61" i="3"/>
  <c r="G62" i="3"/>
  <c r="C19" i="4" l="1"/>
  <c r="D19" i="4"/>
  <c r="B19" i="4"/>
  <c r="C8" i="4"/>
  <c r="B8" i="4"/>
  <c r="D8" i="4"/>
  <c r="C5" i="4"/>
  <c r="B5" i="4"/>
  <c r="D5" i="4"/>
  <c r="C4" i="4"/>
  <c r="B4" i="4"/>
  <c r="D4" i="4"/>
  <c r="E67" i="3" l="1"/>
  <c r="F6" i="3" l="1"/>
  <c r="F5" i="3"/>
  <c r="B67" i="3"/>
  <c r="F7" i="3" l="1"/>
  <c r="F67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D19" i="1" l="1"/>
  <c r="B29" i="4"/>
  <c r="C6" i="4" l="1"/>
  <c r="C7" i="4"/>
  <c r="D6" i="4" l="1"/>
  <c r="D7" i="4"/>
  <c r="D9" i="4"/>
  <c r="D10" i="4"/>
  <c r="P32" i="4"/>
  <c r="V32" i="4" s="1"/>
  <c r="W32" i="4" s="1"/>
  <c r="P31" i="4"/>
  <c r="V31" i="4" s="1"/>
  <c r="W31" i="4" s="1"/>
  <c r="W30" i="4"/>
  <c r="V30" i="4"/>
  <c r="P30" i="4"/>
  <c r="P29" i="4"/>
  <c r="V29" i="4" s="1"/>
  <c r="W29" i="4" s="1"/>
  <c r="W28" i="4"/>
  <c r="V28" i="4"/>
  <c r="P28" i="4"/>
  <c r="M27" i="4"/>
  <c r="P27" i="4" s="1"/>
  <c r="V27" i="4" s="1"/>
  <c r="W27" i="4" s="1"/>
  <c r="G27" i="4"/>
  <c r="G28" i="4" s="1"/>
  <c r="G29" i="4" s="1"/>
  <c r="G30" i="4" s="1"/>
  <c r="G31" i="4" s="1"/>
  <c r="G32" i="4" s="1"/>
  <c r="P26" i="4"/>
  <c r="V26" i="4" s="1"/>
  <c r="W26" i="4" s="1"/>
  <c r="P24" i="4"/>
  <c r="V24" i="4" s="1"/>
  <c r="W24" i="4" s="1"/>
  <c r="B1" i="4" l="1"/>
  <c r="C2" i="4"/>
  <c r="B3" i="4"/>
  <c r="D20" i="1"/>
  <c r="G11" i="1"/>
  <c r="G10" i="1"/>
  <c r="D13" i="1"/>
  <c r="D5" i="1" s="1"/>
  <c r="E10" i="1" l="1"/>
  <c r="E12" i="1"/>
  <c r="E11" i="1"/>
  <c r="B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D18" i="1" l="1"/>
  <c r="E18" i="1" s="1"/>
  <c r="D41" i="4"/>
  <c r="E19" i="1" l="1"/>
  <c r="F18" i="1"/>
  <c r="C41" i="4"/>
  <c r="G3" i="3" s="1"/>
  <c r="G15" i="3" l="1"/>
  <c r="G23" i="3"/>
  <c r="G31" i="3"/>
  <c r="G55" i="3"/>
  <c r="G63" i="3"/>
  <c r="G16" i="3"/>
  <c r="G24" i="3"/>
  <c r="G40" i="3"/>
  <c r="G56" i="3"/>
  <c r="G64" i="3"/>
  <c r="G9" i="3"/>
  <c r="G41" i="3"/>
  <c r="G49" i="3"/>
  <c r="G65" i="3"/>
  <c r="G10" i="3"/>
  <c r="G18" i="3"/>
  <c r="G26" i="3"/>
  <c r="G34" i="3"/>
  <c r="G42" i="3"/>
  <c r="G50" i="3"/>
  <c r="G58" i="3"/>
  <c r="G5" i="3"/>
  <c r="G11" i="3"/>
  <c r="G19" i="3"/>
  <c r="G35" i="3"/>
  <c r="G43" i="3"/>
  <c r="G51" i="3"/>
  <c r="G12" i="3"/>
  <c r="G20" i="3"/>
  <c r="G28" i="3"/>
  <c r="G36" i="3"/>
  <c r="G44" i="3"/>
  <c r="G52" i="3"/>
  <c r="G13" i="3"/>
  <c r="G21" i="3"/>
  <c r="G37" i="3"/>
  <c r="G14" i="3"/>
  <c r="G30" i="3"/>
  <c r="G46" i="3"/>
  <c r="G54" i="3"/>
  <c r="G67" i="3"/>
  <c r="F20" i="1" l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J8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request from UTC.</t>
        </r>
      </text>
    </comment>
    <comment ref="K22" authorId="2" shapeId="0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M22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2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2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2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<sst xmlns="http://schemas.openxmlformats.org/spreadsheetml/2006/main" count="366" uniqueCount="240">
  <si>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</si>
  <si>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</si>
  <si>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</si>
  <si>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</si>
  <si>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</si>
  <si>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</si>
  <si>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</si>
  <si>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</si>
  <si>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</si>
  <si>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</si>
  <si>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</si>
  <si>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</si>
  <si>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</si>
  <si>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</si>
  <si>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</si>
  <si>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</si>
  <si>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</si>
  <si>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</si>
  <si>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</si>
  <si>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</si>
  <si>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</si>
  <si>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</si>
  <si>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</si>
  <si>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</si>
  <si>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</si>
  <si>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</si>
  <si>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</si>
  <si>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</si>
  <si>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</si>
  <si>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</si>
  <si>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</si>
  <si>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</si>
  <si>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</si>
  <si>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</si>
  <si>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</si>
  <si>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</si>
  <si>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</si>
  <si>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</si>
  <si>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</si>
  <si>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</si>
  <si>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</si>
  <si>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</si>
  <si>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</si>
  <si>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</si>
  <si>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</si>
  <si>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</si>
  <si>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</si>
  <si>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</si>
  <si>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</si>
  <si>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</si>
  <si>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 xml:space="preserve">Kettle Falls   </t>
  </si>
  <si>
    <t>BP Energy Co.</t>
  </si>
  <si>
    <t>Brookfield Energy Marketing</t>
  </si>
  <si>
    <t>Calpine Energy Services L.P.</t>
  </si>
  <si>
    <t>Cargill Inc.</t>
  </si>
  <si>
    <t>Chelan County PUD No. 1</t>
  </si>
  <si>
    <t>Citigroup Energy Inc.</t>
  </si>
  <si>
    <t>Clark County PUD No. 1</t>
  </si>
  <si>
    <t>Clatskanie Peoples Util Dist</t>
  </si>
  <si>
    <t>DB Energy Trading</t>
  </si>
  <si>
    <t>EDF Trading Ltd.</t>
  </si>
  <si>
    <t>Engy Authrty</t>
  </si>
  <si>
    <t>Exelon Generation Company</t>
  </si>
  <si>
    <t>Iberdrola Renewables LLC</t>
  </si>
  <si>
    <t>Idaho Cnty L&amp;P Coop Assn Inc</t>
  </si>
  <si>
    <t>Idaho Power Co.</t>
  </si>
  <si>
    <t>Inland Power &amp; Light Co.</t>
  </si>
  <si>
    <t>J P Morgan Ventures Energy LLC</t>
  </si>
  <si>
    <t>Kootenai Electric Cooperative</t>
  </si>
  <si>
    <t>Macquarie Energy LLC</t>
  </si>
  <si>
    <t>Modesto Irrigation District</t>
  </si>
  <si>
    <t>Morgan Stanley Capital Group</t>
  </si>
  <si>
    <t>NextEra Energy Power Marketing</t>
  </si>
  <si>
    <t>Noble America's Gas and Power</t>
  </si>
  <si>
    <t>NorthWestern Corp.</t>
  </si>
  <si>
    <t>PacifiCorp</t>
  </si>
  <si>
    <t>Portland General Electric Co.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</si>
  <si>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</si>
  <si>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</si>
  <si>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</si>
  <si>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</si>
  <si>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</si>
  <si>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</si>
  <si>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</si>
  <si>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</si>
  <si>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San Diego Gas &amp; Electric Co.</t>
  </si>
  <si>
    <t>Seattle City Light</t>
  </si>
  <si>
    <t>Shell Energy North America US</t>
  </si>
  <si>
    <t>Sierra Pacific Power Co.</t>
  </si>
  <si>
    <t>SMUD</t>
  </si>
  <si>
    <t>Southern California Edison Co.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</si>
  <si>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</si>
  <si>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</si>
  <si>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</si>
  <si>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</si>
  <si>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</si>
  <si>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Tri-State G &amp; T Assn Inc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</si>
  <si>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</si>
  <si>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</si>
  <si>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</si>
  <si>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</si>
  <si>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</si>
  <si>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</si>
  <si>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</si>
  <si>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</si>
  <si>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</si>
  <si>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</si>
  <si>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</si>
  <si>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</si>
  <si>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</si>
  <si>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</si>
  <si>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</si>
  <si>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</si>
  <si>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</si>
  <si>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</si>
  <si>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</si>
  <si>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</si>
  <si>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</si>
  <si>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</si>
  <si>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</si>
  <si>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</si>
  <si>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</si>
  <si>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</si>
  <si>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</si>
  <si>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</si>
  <si>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</si>
  <si>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</si>
  <si>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</si>
  <si>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</si>
  <si>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</si>
  <si>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</si>
  <si>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</si>
  <si>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</si>
  <si>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</si>
  <si>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</si>
  <si>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</si>
  <si>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</si>
  <si>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</si>
  <si>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</si>
  <si>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</si>
  <si>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</si>
  <si>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</si>
  <si>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</si>
  <si>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</si>
  <si>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</si>
  <si>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</si>
  <si>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</si>
  <si>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</si>
  <si>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</si>
  <si>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</si>
  <si>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</si>
  <si>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</si>
  <si>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</si>
  <si>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</si>
  <si>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</si>
  <si>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</si>
  <si>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</si>
  <si>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</si>
  <si>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</si>
  <si>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</si>
  <si>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</si>
  <si>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</si>
  <si>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</si>
  <si>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</si>
  <si>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</si>
  <si>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</si>
  <si>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</si>
  <si>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</si>
  <si>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</si>
  <si>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</si>
  <si>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</si>
  <si>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</si>
  <si>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</si>
  <si>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</si>
  <si>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</si>
  <si>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</si>
  <si>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</si>
  <si>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</si>
  <si>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</si>
  <si>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</si>
  <si>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</si>
  <si>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</si>
  <si>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</si>
  <si>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</si>
  <si>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</si>
  <si>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Power, LLC</t>
  </si>
  <si>
    <t>CTGEN1</t>
  </si>
  <si>
    <t>ARP</t>
  </si>
  <si>
    <t>Bonneville Power Admin (Known)</t>
  </si>
  <si>
    <t>Chelan County PUD No. 1 (Rocky Reach Hydro)</t>
  </si>
  <si>
    <t>Ford Electronics (PURPA Hydro)</t>
  </si>
  <si>
    <t>Grant County Public Utilty (Priest Rapids Hydro)</t>
  </si>
  <si>
    <t>Hydro Technology Systems (PURPA Hydro)</t>
  </si>
  <si>
    <t>JP Morgan Ventures LLC (PPM Energy Stateline Wind)</t>
  </si>
  <si>
    <t>Jim White (PURPA Hydro)</t>
  </si>
  <si>
    <t>Palouse Wind Holdings (Wind PPA)</t>
  </si>
  <si>
    <t>Phillips Ranch (PURPA Hydro)</t>
  </si>
  <si>
    <t>PUD No 1 of Douglas County (Wells Hydro)</t>
  </si>
  <si>
    <t>Sheep Creek Hydro Inc (PURPA Hydro)</t>
  </si>
  <si>
    <t>Spokane City of (PURPA Upriver Hydro)</t>
  </si>
  <si>
    <t>Spokane County (PURPA Digester)</t>
  </si>
  <si>
    <t>Stimson Lumber (PURPA Biomass)</t>
  </si>
  <si>
    <t xml:space="preserve">Multiplied Busbar MWh and Short Tons CO2 for Known and Unknown Resources by 65% to show </t>
  </si>
  <si>
    <t>Washington share.</t>
  </si>
  <si>
    <t>Counter-Party</t>
  </si>
  <si>
    <t>Energy
Purchased
(MWh)</t>
  </si>
  <si>
    <t>Energy
Sold
(MWh)</t>
  </si>
  <si>
    <t>Barclays Bank Plc</t>
  </si>
  <si>
    <t>Black Hills Power Inc.</t>
  </si>
  <si>
    <t>Bonneville Power Admin</t>
  </si>
  <si>
    <t>British Columbia Hydro and Power Author</t>
  </si>
  <si>
    <t>Burbank (CA)</t>
  </si>
  <si>
    <t>Constellation Energy</t>
  </si>
  <si>
    <t>ConocoPhillips Co.</t>
  </si>
  <si>
    <t>EDF Trading North America LLC</t>
  </si>
  <si>
    <t>Eugene City of</t>
  </si>
  <si>
    <t>Grant County Public Utility</t>
  </si>
  <si>
    <t>IntraCompany Generation Services</t>
  </si>
  <si>
    <t>J. Aron &amp; Co.</t>
  </si>
  <si>
    <t>JP Morgan Ventures Energy Corp</t>
  </si>
  <si>
    <t>NaturEner Power Watch LLC</t>
  </si>
  <si>
    <t>Redding City of</t>
  </si>
  <si>
    <t>Spokane City of</t>
  </si>
  <si>
    <t>Turlock Irrigation District</t>
  </si>
  <si>
    <t>Net Purchase</t>
  </si>
  <si>
    <t>Potlatch Corp. (only serves ID)</t>
  </si>
  <si>
    <t>AVA</t>
  </si>
  <si>
    <t>lbs/MWh</t>
  </si>
  <si>
    <t>Lbs CO2 from Purchases</t>
  </si>
  <si>
    <t>Tons of CO2</t>
  </si>
  <si>
    <t>Washington Department of Commerce Fuel Mix Report =</t>
  </si>
  <si>
    <t>Was missing Grant County Public Utility 26,030 MWh and Redding City of 43 MWh in the 2016 report.</t>
  </si>
  <si>
    <t xml:space="preserve"> Gross Load (MW-h)</t>
  </si>
  <si>
    <t>Rathdrum Combustion Turbine Project</t>
  </si>
  <si>
    <t>MT</t>
  </si>
  <si>
    <t>Colstrip</t>
  </si>
  <si>
    <t>OR</t>
  </si>
  <si>
    <t>Coyote Springs</t>
  </si>
  <si>
    <t>CTG2</t>
  </si>
  <si>
    <t>Unknown Resources for Washington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</si>
</sst>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.000;\(###,##0.000\)"/>
    <numFmt numFmtId="169" formatCode="###,##0;\(###,##0\)"/>
    <numFmt numFmtId="170" formatCode="###,##0.00;\(###,##0.00\)"/>
    <numFmt numFmtId="171" formatCode="0.0"/>
    <numFmt numFmtId="172" formatCode="0.000"/>
    <numFmt numFmtId="173" formatCode="#,##0.000"/>
    <numFmt numFmtId="174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2" fillId="0" borderId="0" applyNumberFormat="0" applyFill="0" applyBorder="0" applyAlignment="0" applyProtection="0"/>
    <xf numFmtId="0" fontId="13" fillId="0" borderId="0"/>
  </cellStyleXfs>
  <cellXfs count="167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3" fillId="0" borderId="0" xfId="5" applyAlignment="1">
      <alignment horizontal="left"/>
    </xf>
    <xf numFmtId="167" fontId="13" fillId="0" borderId="0" xfId="5" applyNumberFormat="1" applyAlignment="1">
      <alignment horizontal="left"/>
    </xf>
    <xf numFmtId="168" fontId="13" fillId="0" borderId="0" xfId="5" applyNumberFormat="1" applyAlignment="1">
      <alignment horizontal="right"/>
    </xf>
    <xf numFmtId="169" fontId="13" fillId="0" borderId="0" xfId="5" applyNumberFormat="1" applyAlignment="1">
      <alignment horizontal="right"/>
    </xf>
    <xf numFmtId="170" fontId="13" fillId="0" borderId="0" xfId="5" applyNumberFormat="1" applyAlignment="1">
      <alignment horizontal="right"/>
    </xf>
    <xf numFmtId="0" fontId="0" fillId="3" borderId="2" xfId="0" applyFill="1" applyBorder="1" applyAlignment="1" applyProtection="1">
      <alignment horizontal="center" vertical="center"/>
      <protection locked="0"/>
    </xf>
    <xf numFmtId="171" fontId="15" fillId="3" borderId="2" xfId="0" applyNumberFormat="1" applyFont="1" applyFill="1" applyBorder="1" applyAlignment="1" applyProtection="1">
      <alignment horizontal="center" vertical="center"/>
      <protection locked="0"/>
    </xf>
    <xf numFmtId="3" fontId="0" fillId="4" borderId="2" xfId="1" applyNumberFormat="1" applyFont="1" applyFill="1" applyBorder="1" applyAlignment="1" applyProtection="1">
      <alignment horizontal="center" vertical="center"/>
      <protection locked="0"/>
    </xf>
    <xf numFmtId="3" fontId="0" fillId="4" borderId="2" xfId="1" quotePrefix="1" applyNumberFormat="1" applyFont="1" applyFill="1" applyBorder="1" applyAlignment="1" applyProtection="1">
      <alignment horizontal="center" vertical="center"/>
      <protection locked="0"/>
    </xf>
    <xf numFmtId="171" fontId="15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4" fillId="0" borderId="8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4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38" xfId="0" applyNumberFormat="1" applyFont="1" applyFill="1" applyBorder="1" applyAlignment="1">
      <alignment horizontal="center" vertical="center"/>
    </xf>
    <xf numFmtId="4" fontId="14" fillId="0" borderId="38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2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6" fillId="5" borderId="2" xfId="2" applyFont="1" applyFill="1" applyBorder="1" applyAlignment="1" applyProtection="1">
      <alignment horizontal="center" vertical="center" wrapText="1"/>
      <protection locked="0"/>
    </xf>
    <xf numFmtId="2" fontId="16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22" fillId="6" borderId="2" xfId="0" applyFont="1" applyFill="1" applyBorder="1" applyAlignment="1" applyProtection="1">
      <alignment horizontal="center" vertical="center"/>
      <protection locked="0"/>
    </xf>
    <xf numFmtId="2" fontId="22" fillId="6" borderId="0" xfId="0" applyNumberFormat="1" applyFont="1" applyFill="1" applyBorder="1" applyAlignment="1" applyProtection="1">
      <alignment horizontal="center" vertical="center"/>
      <protection locked="0"/>
    </xf>
    <xf numFmtId="4" fontId="23" fillId="6" borderId="2" xfId="0" applyNumberFormat="1" applyFont="1" applyFill="1" applyBorder="1" applyAlignment="1" applyProtection="1">
      <alignment horizontal="center" vertical="center"/>
      <protection locked="0"/>
    </xf>
    <xf numFmtId="2" fontId="23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2" xfId="0" applyFont="1" applyFill="1" applyBorder="1" applyAlignment="1" applyProtection="1">
      <alignment horizontal="center" vertical="center" wrapText="1"/>
      <protection locked="0"/>
    </xf>
    <xf numFmtId="0" fontId="23" fillId="6" borderId="3" xfId="0" applyFont="1" applyFill="1" applyBorder="1" applyAlignment="1" applyProtection="1">
      <alignment horizontal="center" vertical="center" wrapText="1"/>
      <protection locked="0"/>
    </xf>
    <xf numFmtId="2" fontId="23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9" fontId="16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3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3" fillId="9" borderId="2" xfId="0" applyNumberFormat="1" applyFont="1" applyFill="1" applyBorder="1" applyAlignment="1" applyProtection="1">
      <alignment horizontal="center" vertical="center" wrapText="1"/>
      <protection locked="0"/>
    </xf>
    <xf numFmtId="174" fontId="0" fillId="4" borderId="2" xfId="0" applyNumberForma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0" fontId="13" fillId="0" borderId="0" xfId="5"/>
    <xf numFmtId="0" fontId="24" fillId="0" borderId="0" xfId="5" applyFont="1" applyAlignment="1">
      <alignment horizontal="left"/>
    </xf>
    <xf numFmtId="0" fontId="14" fillId="0" borderId="0" xfId="7" applyFont="1" applyAlignment="1">
      <alignment horizontal="left"/>
    </xf>
    <xf numFmtId="0" fontId="13" fillId="0" borderId="0" xfId="7" applyAlignment="1">
      <alignment horizontal="left"/>
    </xf>
    <xf numFmtId="169" fontId="13" fillId="0" borderId="0" xfId="7" applyNumberFormat="1" applyAlignment="1">
      <alignment horizontal="right"/>
    </xf>
    <xf numFmtId="169" fontId="0" fillId="0" borderId="0" xfId="0" applyNumberFormat="1"/>
    <xf numFmtId="0" fontId="13" fillId="11" borderId="0" xfId="5" applyFill="1" applyAlignment="1">
      <alignment horizontal="left"/>
    </xf>
    <xf numFmtId="169" fontId="13" fillId="11" borderId="0" xfId="5" applyNumberFormat="1" applyFill="1" applyAlignment="1">
      <alignment horizontal="right"/>
    </xf>
    <xf numFmtId="165" fontId="0" fillId="0" borderId="0" xfId="1" applyNumberFormat="1" applyFont="1"/>
    <xf numFmtId="165" fontId="2" fillId="0" borderId="0" xfId="1" applyNumberFormat="1" applyFont="1" applyAlignment="1">
      <alignment horizontal="center" wrapText="1"/>
    </xf>
    <xf numFmtId="43" fontId="0" fillId="10" borderId="0" xfId="0" applyNumberFormat="1" applyFill="1"/>
    <xf numFmtId="43" fontId="0" fillId="0" borderId="0" xfId="0" applyNumberFormat="1"/>
    <xf numFmtId="11" fontId="0" fillId="0" borderId="0" xfId="0" applyNumberFormat="1"/>
    <xf numFmtId="0" fontId="27" fillId="0" borderId="0" xfId="0" applyFont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4" fillId="0" borderId="8" xfId="0" applyNumberFormat="1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center" vertical="center"/>
    </xf>
    <xf numFmtId="4" fontId="14" fillId="0" borderId="36" xfId="0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right"/>
    </xf>
  </cellXfs>
  <cellStyles count="8">
    <cellStyle name="Comma" xfId="1" builtinId="3"/>
    <cellStyle name="Hyperlink" xfId="3" builtinId="8"/>
    <cellStyle name="Normal" xfId="0" builtinId="0"/>
    <cellStyle name="Normal 2" xfId="5"/>
    <cellStyle name="Normal 3" xfId="7"/>
    <cellStyle name="Percent" xfId="2" builtinId="5"/>
    <cellStyle name="Style 22" xfId="4"/>
    <cellStyle name="Style 2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F20" sqref="F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7</v>
      </c>
    </row>
    <row r="2" spans="1:7" ht="15.75" thickBot="1" x14ac:dyDescent="0.3"/>
    <row r="3" spans="1:7" x14ac:dyDescent="0.25">
      <c r="A3" s="55"/>
      <c r="B3" s="56" t="s">
        <v>11</v>
      </c>
      <c r="C3" s="57" t="s">
        <v>19</v>
      </c>
      <c r="D3" s="62"/>
      <c r="E3" s="60"/>
    </row>
    <row r="4" spans="1:7" x14ac:dyDescent="0.25">
      <c r="A4" s="157" t="s">
        <v>12</v>
      </c>
      <c r="B4" s="159"/>
      <c r="C4" s="32">
        <v>2012</v>
      </c>
      <c r="D4" s="65" t="s">
        <v>34</v>
      </c>
      <c r="E4" s="61"/>
    </row>
    <row r="5" spans="1:7" ht="15.75" thickBot="1" x14ac:dyDescent="0.3">
      <c r="A5" s="160" t="s">
        <v>17</v>
      </c>
      <c r="B5" s="161"/>
      <c r="C5" s="58">
        <v>514677</v>
      </c>
      <c r="D5" s="59">
        <f>+D13/C5</f>
        <v>10.67975254382846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31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16</v>
      </c>
      <c r="G8" s="48" t="s">
        <v>35</v>
      </c>
    </row>
    <row r="9" spans="1:7" x14ac:dyDescent="0.25">
      <c r="A9" s="38"/>
      <c r="B9" s="11"/>
      <c r="C9" s="11"/>
      <c r="D9" s="13" t="s">
        <v>10</v>
      </c>
      <c r="E9" s="25" t="s">
        <v>24</v>
      </c>
      <c r="F9" s="18" t="s">
        <v>30</v>
      </c>
      <c r="G9" s="49" t="s">
        <v>16</v>
      </c>
    </row>
    <row r="10" spans="1:7" x14ac:dyDescent="0.25">
      <c r="A10" s="157" t="s">
        <v>8</v>
      </c>
      <c r="B10" s="158"/>
      <c r="C10" s="159"/>
      <c r="D10" s="63">
        <v>2454617</v>
      </c>
      <c r="E10" s="12">
        <f>+D10/D13</f>
        <v>0.44656819287042243</v>
      </c>
      <c r="F10" s="34">
        <v>212164</v>
      </c>
      <c r="G10" s="50">
        <f>+D10/F10</f>
        <v>11.56943213740314</v>
      </c>
    </row>
    <row r="11" spans="1:7" x14ac:dyDescent="0.25">
      <c r="A11" s="157" t="s">
        <v>13</v>
      </c>
      <c r="B11" s="158"/>
      <c r="C11" s="159"/>
      <c r="D11" s="63">
        <v>2129945</v>
      </c>
      <c r="E11" s="12">
        <f>+D11/D13</f>
        <v>0.38750065267346878</v>
      </c>
      <c r="F11" s="27">
        <v>23142</v>
      </c>
      <c r="G11" s="50">
        <f>+D11/F11</f>
        <v>92.038069311209057</v>
      </c>
    </row>
    <row r="12" spans="1:7" x14ac:dyDescent="0.25">
      <c r="A12" s="157" t="s">
        <v>14</v>
      </c>
      <c r="B12" s="158"/>
      <c r="C12" s="159"/>
      <c r="D12" s="63">
        <v>912061</v>
      </c>
      <c r="E12" s="12">
        <f>+D12/D13</f>
        <v>0.16593115445610879</v>
      </c>
      <c r="F12" s="5"/>
      <c r="G12" s="39"/>
    </row>
    <row r="13" spans="1:7" ht="15.75" thickBot="1" x14ac:dyDescent="0.3">
      <c r="A13" s="40"/>
      <c r="B13" s="162" t="s">
        <v>9</v>
      </c>
      <c r="C13" s="161"/>
      <c r="D13" s="64">
        <f>SUM(D10:D12)</f>
        <v>5496623</v>
      </c>
      <c r="E13" s="41"/>
      <c r="F13" s="42"/>
      <c r="G13" s="43"/>
    </row>
    <row r="15" spans="1:7" ht="19.5" thickBot="1" x14ac:dyDescent="0.35">
      <c r="B15" s="54" t="s">
        <v>32</v>
      </c>
    </row>
    <row r="16" spans="1:7" x14ac:dyDescent="0.25">
      <c r="A16" s="35"/>
      <c r="B16" s="36"/>
      <c r="C16" s="36"/>
      <c r="D16" s="36"/>
      <c r="E16" s="37" t="s">
        <v>25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15</v>
      </c>
      <c r="E17" s="18" t="s">
        <v>26</v>
      </c>
      <c r="F17" s="14" t="s">
        <v>5</v>
      </c>
      <c r="G17" s="39"/>
    </row>
    <row r="18" spans="1:8" ht="15.75" thickBot="1" x14ac:dyDescent="0.3">
      <c r="A18" s="157" t="s">
        <v>28</v>
      </c>
      <c r="B18" s="158"/>
      <c r="C18" s="159"/>
      <c r="D18" s="6">
        <f>+'Known Resources'!B41*0.65</f>
        <v>6217285.9826999996</v>
      </c>
      <c r="E18" s="12">
        <f>+D18/(D18+D19)</f>
        <v>1.0380281838915133</v>
      </c>
      <c r="F18" s="6">
        <f>+'Known Resources'!D41*0.65</f>
        <v>1754670.3706757978</v>
      </c>
      <c r="G18" s="39"/>
    </row>
    <row r="19" spans="1:8" ht="18" x14ac:dyDescent="0.35">
      <c r="A19" s="157" t="s">
        <v>29</v>
      </c>
      <c r="B19" s="158"/>
      <c r="C19" s="159"/>
      <c r="D19" s="51">
        <f>+'Unknown Resources'!F67*0.65</f>
        <v>-227770.4</v>
      </c>
      <c r="E19" s="52">
        <f>+D19/(D18+D19)</f>
        <v>-3.8028183891513301E-2</v>
      </c>
      <c r="F19" s="67">
        <f>+'Unknown Resources'!G67*0.65</f>
        <v>189316.98525513944</v>
      </c>
      <c r="G19" s="69" t="s">
        <v>33</v>
      </c>
    </row>
    <row r="20" spans="1:8" ht="18.75" thickBot="1" x14ac:dyDescent="0.4">
      <c r="A20" s="40"/>
      <c r="B20" s="42"/>
      <c r="C20" s="42"/>
      <c r="D20" s="66">
        <f>+C4</f>
        <v>2012</v>
      </c>
      <c r="E20" s="47" t="s">
        <v>2</v>
      </c>
      <c r="F20" s="68">
        <f>SUM(F18:F19)</f>
        <v>1943987.3559309372</v>
      </c>
      <c r="G20" s="70">
        <f>+F20/G22</f>
        <v>1.7173685536914718</v>
      </c>
    </row>
    <row r="21" spans="1:8" x14ac:dyDescent="0.25">
      <c r="A21" t="s">
        <v>202</v>
      </c>
    </row>
    <row r="22" spans="1:8" ht="18" x14ac:dyDescent="0.35">
      <c r="A22" t="s">
        <v>203</v>
      </c>
      <c r="F22" s="17" t="s">
        <v>23</v>
      </c>
      <c r="G22" s="27">
        <v>1131957</v>
      </c>
      <c r="H22" s="24"/>
    </row>
    <row r="24" spans="1:8" x14ac:dyDescent="0.25">
      <c r="C24" s="24" t="s">
        <v>18</v>
      </c>
      <c r="F24" s="19"/>
      <c r="G24" s="19"/>
    </row>
    <row r="25" spans="1:8" x14ac:dyDescent="0.25">
      <c r="E25" s="19"/>
      <c r="F25" s="19"/>
      <c r="G25" s="22" t="s">
        <v>22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19</v>
      </c>
      <c r="G27" s="21">
        <v>1131957</v>
      </c>
    </row>
    <row r="28" spans="1:8" x14ac:dyDescent="0.25">
      <c r="E28" s="19"/>
      <c r="F28" s="20" t="s">
        <v>20</v>
      </c>
      <c r="G28" s="21">
        <v>2399078</v>
      </c>
    </row>
    <row r="29" spans="1:8" x14ac:dyDescent="0.25">
      <c r="E29" s="19"/>
      <c r="F29" s="20" t="s">
        <v>21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workbookViewId="0">
      <selection activeCell="D23" sqref="D23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7" max="7" width="25" bestFit="1" customWidth="1"/>
    <col min="8" max="8" width="10.5703125" customWidth="1"/>
    <col min="9" max="9" width="10.85546875" bestFit="1" customWidth="1"/>
  </cols>
  <sheetData>
    <row r="1" spans="1:21" ht="18.75" x14ac:dyDescent="0.3">
      <c r="A1" s="3" t="s">
        <v>6</v>
      </c>
      <c r="B1" s="31">
        <f>+Summary!C4</f>
        <v>2012</v>
      </c>
    </row>
    <row r="2" spans="1:21" ht="18.75" x14ac:dyDescent="0.3">
      <c r="A2" s="3"/>
      <c r="B2" s="7" t="s">
        <v>27</v>
      </c>
      <c r="C2" s="7">
        <f>+Summary!C4</f>
        <v>2012</v>
      </c>
      <c r="D2" s="7" t="s">
        <v>3</v>
      </c>
      <c r="L2" t="s">
        <v>175</v>
      </c>
      <c r="M2" t="s">
        <v>176</v>
      </c>
      <c r="N2" t="s">
        <v>177</v>
      </c>
      <c r="O2" t="s">
        <v>178</v>
      </c>
      <c r="P2" t="s">
        <v>179</v>
      </c>
      <c r="Q2" t="s">
        <v>180</v>
      </c>
      <c r="R2" t="s">
        <v>181</v>
      </c>
      <c r="S2" t="s">
        <v>232</v>
      </c>
      <c r="T2" t="s">
        <v>182</v>
      </c>
      <c r="U2" t="s">
        <v>183</v>
      </c>
    </row>
    <row r="3" spans="1:21" ht="19.5" x14ac:dyDescent="0.35">
      <c r="A3" s="4" t="s">
        <v>0</v>
      </c>
      <c r="B3" s="8">
        <f>+Summary!C4</f>
        <v>2012</v>
      </c>
      <c r="C3" s="8" t="s">
        <v>4</v>
      </c>
      <c r="D3" s="8" t="s">
        <v>5</v>
      </c>
      <c r="E3" s="2"/>
      <c r="G3" s="76" t="s">
        <v>97</v>
      </c>
      <c r="H3" s="77">
        <v>222</v>
      </c>
      <c r="I3" s="76" t="s">
        <v>98</v>
      </c>
      <c r="J3" s="78">
        <v>1498987</v>
      </c>
      <c r="L3" t="s">
        <v>184</v>
      </c>
      <c r="M3" t="s">
        <v>233</v>
      </c>
      <c r="N3">
        <v>7456</v>
      </c>
      <c r="O3">
        <v>1</v>
      </c>
      <c r="Q3">
        <v>2012</v>
      </c>
      <c r="R3" t="s">
        <v>187</v>
      </c>
      <c r="S3">
        <v>4376.66</v>
      </c>
      <c r="T3">
        <v>2630.942</v>
      </c>
      <c r="U3">
        <v>44265.13</v>
      </c>
    </row>
    <row r="4" spans="1:21" x14ac:dyDescent="0.25">
      <c r="A4" s="26" t="s">
        <v>36</v>
      </c>
      <c r="B4" s="27">
        <f>0.15*(S6+S7)</f>
        <v>1590909.888</v>
      </c>
      <c r="C4" s="142">
        <f>(D4*2000)/B4</f>
        <v>2153.3383937330832</v>
      </c>
      <c r="D4" s="6">
        <f>0.15*(T6+T7)</f>
        <v>1712883.6713999999</v>
      </c>
      <c r="G4" s="76" t="s">
        <v>99</v>
      </c>
      <c r="H4" s="77">
        <v>149</v>
      </c>
      <c r="I4" s="76" t="s">
        <v>100</v>
      </c>
      <c r="J4" s="78">
        <v>6943</v>
      </c>
      <c r="L4" t="s">
        <v>184</v>
      </c>
      <c r="M4" t="s">
        <v>233</v>
      </c>
      <c r="N4">
        <v>7456</v>
      </c>
      <c r="O4">
        <v>2</v>
      </c>
      <c r="Q4">
        <v>2012</v>
      </c>
      <c r="R4" t="s">
        <v>187</v>
      </c>
      <c r="S4">
        <v>3402.51</v>
      </c>
      <c r="T4">
        <v>2051.0259999999998</v>
      </c>
      <c r="U4">
        <v>34511.373</v>
      </c>
    </row>
    <row r="5" spans="1:21" x14ac:dyDescent="0.25">
      <c r="A5" s="28" t="s">
        <v>37</v>
      </c>
      <c r="B5" s="27">
        <f>S3+S4</f>
        <v>7779.17</v>
      </c>
      <c r="C5" s="142">
        <f>(D5*2000)/B5</f>
        <v>1203.71916284128</v>
      </c>
      <c r="D5" s="6">
        <f>T3+T4</f>
        <v>4681.9679999999998</v>
      </c>
      <c r="G5" s="76" t="s">
        <v>101</v>
      </c>
      <c r="H5" s="77">
        <v>61.2</v>
      </c>
      <c r="I5" s="76" t="s">
        <v>100</v>
      </c>
      <c r="J5" s="78">
        <v>181</v>
      </c>
      <c r="L5" t="s">
        <v>184</v>
      </c>
      <c r="M5" t="s">
        <v>185</v>
      </c>
      <c r="N5">
        <v>55179</v>
      </c>
      <c r="O5" t="s">
        <v>186</v>
      </c>
      <c r="Q5">
        <v>2012</v>
      </c>
      <c r="R5" t="s">
        <v>187</v>
      </c>
      <c r="S5">
        <v>1233616.1200000001</v>
      </c>
      <c r="T5">
        <v>506599.54100000003</v>
      </c>
      <c r="U5">
        <v>8524452.4130000006</v>
      </c>
    </row>
    <row r="6" spans="1:21" x14ac:dyDescent="0.25">
      <c r="A6" s="28" t="s">
        <v>38</v>
      </c>
      <c r="B6" s="27">
        <v>181</v>
      </c>
      <c r="C6" s="142">
        <f t="shared" ref="C6:C7" si="0">(W29*2204.62262)/B6</f>
        <v>1823.1427933361992</v>
      </c>
      <c r="D6" s="6">
        <f t="shared" ref="D6:D10" si="1">(+B6*C6)/2000</f>
        <v>164.99442279692602</v>
      </c>
      <c r="G6" s="76" t="s">
        <v>102</v>
      </c>
      <c r="H6" s="77">
        <v>24</v>
      </c>
      <c r="I6" s="76" t="s">
        <v>100</v>
      </c>
      <c r="J6" s="78">
        <v>5577</v>
      </c>
      <c r="L6" t="s">
        <v>234</v>
      </c>
      <c r="M6" t="s">
        <v>235</v>
      </c>
      <c r="N6">
        <v>6076</v>
      </c>
      <c r="O6">
        <v>3</v>
      </c>
      <c r="Q6">
        <v>2012</v>
      </c>
      <c r="R6" t="s">
        <v>187</v>
      </c>
      <c r="S6">
        <v>5169460.7</v>
      </c>
      <c r="T6">
        <v>5564140.585</v>
      </c>
      <c r="U6" s="155">
        <v>53052468.254000001</v>
      </c>
    </row>
    <row r="7" spans="1:21" x14ac:dyDescent="0.25">
      <c r="A7" s="28" t="s">
        <v>39</v>
      </c>
      <c r="B7" s="27">
        <v>5577</v>
      </c>
      <c r="C7" s="142">
        <f t="shared" si="0"/>
        <v>1047.9021480970944</v>
      </c>
      <c r="D7" s="6">
        <f t="shared" si="1"/>
        <v>2922.0751399687479</v>
      </c>
      <c r="G7" s="76" t="s">
        <v>103</v>
      </c>
      <c r="H7" s="77">
        <v>278.3</v>
      </c>
      <c r="I7" s="76" t="s">
        <v>100</v>
      </c>
      <c r="J7" s="78">
        <v>1142118</v>
      </c>
      <c r="L7" t="s">
        <v>234</v>
      </c>
      <c r="M7" t="s">
        <v>235</v>
      </c>
      <c r="N7">
        <v>6076</v>
      </c>
      <c r="O7">
        <v>4</v>
      </c>
      <c r="Q7">
        <v>2012</v>
      </c>
      <c r="R7" t="s">
        <v>187</v>
      </c>
      <c r="S7">
        <v>5436605.2199999997</v>
      </c>
      <c r="T7">
        <v>5855083.8909999998</v>
      </c>
      <c r="U7" s="155">
        <v>55826531.557999998</v>
      </c>
    </row>
    <row r="8" spans="1:21" x14ac:dyDescent="0.25">
      <c r="A8" s="28" t="s">
        <v>40</v>
      </c>
      <c r="B8" s="27">
        <f>S8</f>
        <v>1154058.18</v>
      </c>
      <c r="C8" s="142">
        <f>(D8*2000)/B8</f>
        <v>818.40003594966072</v>
      </c>
      <c r="D8" s="6">
        <f>T8</f>
        <v>472240.62800000003</v>
      </c>
      <c r="G8" s="76" t="s">
        <v>104</v>
      </c>
      <c r="H8" s="77">
        <v>6.9</v>
      </c>
      <c r="I8" s="76" t="s">
        <v>100</v>
      </c>
      <c r="J8" s="79">
        <v>0</v>
      </c>
      <c r="L8" t="s">
        <v>236</v>
      </c>
      <c r="M8" t="s">
        <v>237</v>
      </c>
      <c r="N8">
        <v>7350</v>
      </c>
      <c r="O8" t="s">
        <v>238</v>
      </c>
      <c r="Q8">
        <v>2012</v>
      </c>
      <c r="R8" t="s">
        <v>187</v>
      </c>
      <c r="S8">
        <v>1154058.18</v>
      </c>
      <c r="T8">
        <v>472240.62800000003</v>
      </c>
      <c r="U8">
        <v>7946313.2659999998</v>
      </c>
    </row>
    <row r="9" spans="1:21" x14ac:dyDescent="0.25">
      <c r="A9" s="28" t="s">
        <v>41</v>
      </c>
      <c r="B9" s="27">
        <v>0</v>
      </c>
      <c r="C9" s="27">
        <v>0</v>
      </c>
      <c r="D9" s="6">
        <f t="shared" si="1"/>
        <v>0</v>
      </c>
      <c r="G9" s="76" t="s">
        <v>105</v>
      </c>
      <c r="H9" s="80">
        <v>50</v>
      </c>
      <c r="I9" s="76" t="s">
        <v>106</v>
      </c>
      <c r="J9" s="78">
        <v>209169</v>
      </c>
    </row>
    <row r="10" spans="1:21" x14ac:dyDescent="0.25">
      <c r="A10" s="28" t="s">
        <v>50</v>
      </c>
      <c r="B10" s="27">
        <v>209169</v>
      </c>
      <c r="C10" s="27">
        <v>0</v>
      </c>
      <c r="D10" s="6">
        <f t="shared" si="1"/>
        <v>0</v>
      </c>
      <c r="G10" s="76" t="s">
        <v>107</v>
      </c>
      <c r="H10" s="77">
        <v>15</v>
      </c>
      <c r="I10" s="76" t="s">
        <v>108</v>
      </c>
      <c r="J10" s="78">
        <v>102158</v>
      </c>
    </row>
    <row r="11" spans="1:21" x14ac:dyDescent="0.25">
      <c r="A11" s="28" t="s">
        <v>42</v>
      </c>
      <c r="B11" s="27">
        <v>102158</v>
      </c>
      <c r="C11" s="27">
        <v>0</v>
      </c>
      <c r="D11" s="6">
        <f t="shared" ref="D11:D40" si="2">(+B11*C11)/2000</f>
        <v>0</v>
      </c>
      <c r="G11" s="76" t="s">
        <v>109</v>
      </c>
      <c r="H11" s="77">
        <v>18</v>
      </c>
      <c r="I11" s="76" t="s">
        <v>108</v>
      </c>
      <c r="J11" s="78">
        <v>82967</v>
      </c>
    </row>
    <row r="12" spans="1:21" x14ac:dyDescent="0.25">
      <c r="A12" s="28" t="s">
        <v>43</v>
      </c>
      <c r="B12" s="27">
        <v>82967</v>
      </c>
      <c r="C12" s="27">
        <v>0</v>
      </c>
      <c r="D12" s="6">
        <f t="shared" si="2"/>
        <v>0</v>
      </c>
      <c r="G12" s="76" t="s">
        <v>110</v>
      </c>
      <c r="H12" s="77">
        <v>17.600000000000001</v>
      </c>
      <c r="I12" s="76" t="s">
        <v>108</v>
      </c>
      <c r="J12" s="78">
        <v>106194</v>
      </c>
    </row>
    <row r="13" spans="1:21" x14ac:dyDescent="0.25">
      <c r="A13" s="28" t="s">
        <v>44</v>
      </c>
      <c r="B13" s="27">
        <v>106194</v>
      </c>
      <c r="C13" s="27">
        <v>0</v>
      </c>
      <c r="D13" s="6">
        <f t="shared" si="2"/>
        <v>0</v>
      </c>
      <c r="G13" s="76" t="s">
        <v>111</v>
      </c>
      <c r="H13" s="77">
        <v>34.6</v>
      </c>
      <c r="I13" s="76" t="s">
        <v>108</v>
      </c>
      <c r="J13" s="78">
        <v>201982</v>
      </c>
    </row>
    <row r="14" spans="1:21" x14ac:dyDescent="0.25">
      <c r="A14" s="28" t="s">
        <v>45</v>
      </c>
      <c r="B14" s="27">
        <v>201982</v>
      </c>
      <c r="C14" s="27">
        <v>0</v>
      </c>
      <c r="D14" s="6">
        <f t="shared" si="2"/>
        <v>0</v>
      </c>
      <c r="G14" s="76" t="s">
        <v>112</v>
      </c>
      <c r="H14" s="77">
        <v>87</v>
      </c>
      <c r="I14" s="76" t="s">
        <v>108</v>
      </c>
      <c r="J14" s="78">
        <v>513474</v>
      </c>
    </row>
    <row r="15" spans="1:21" x14ac:dyDescent="0.25">
      <c r="A15" s="28" t="s">
        <v>46</v>
      </c>
      <c r="B15" s="27">
        <v>513474</v>
      </c>
      <c r="C15" s="27">
        <v>0</v>
      </c>
      <c r="D15" s="6">
        <f t="shared" si="2"/>
        <v>0</v>
      </c>
      <c r="G15" s="76" t="s">
        <v>113</v>
      </c>
      <c r="H15" s="77">
        <v>10.199999999999999</v>
      </c>
      <c r="I15" s="76" t="s">
        <v>108</v>
      </c>
      <c r="J15" s="78">
        <v>59630</v>
      </c>
    </row>
    <row r="16" spans="1:21" x14ac:dyDescent="0.25">
      <c r="A16" s="28" t="s">
        <v>47</v>
      </c>
      <c r="B16" s="27">
        <v>59630</v>
      </c>
      <c r="C16" s="27">
        <v>0</v>
      </c>
      <c r="D16" s="6">
        <f t="shared" si="2"/>
        <v>0</v>
      </c>
      <c r="G16" s="76" t="s">
        <v>114</v>
      </c>
      <c r="H16" s="77">
        <v>254.6</v>
      </c>
      <c r="I16" s="76" t="s">
        <v>108</v>
      </c>
      <c r="J16" s="78">
        <v>1198885</v>
      </c>
    </row>
    <row r="17" spans="1:23" x14ac:dyDescent="0.25">
      <c r="A17" s="28" t="s">
        <v>48</v>
      </c>
      <c r="B17" s="27">
        <v>1198885</v>
      </c>
      <c r="C17" s="27">
        <v>0</v>
      </c>
      <c r="D17" s="6">
        <f t="shared" si="2"/>
        <v>0</v>
      </c>
      <c r="G17" s="76" t="s">
        <v>115</v>
      </c>
      <c r="H17" s="77">
        <v>562.4</v>
      </c>
      <c r="I17" s="76" t="s">
        <v>108</v>
      </c>
      <c r="J17" s="78">
        <v>1822999</v>
      </c>
    </row>
    <row r="18" spans="1:23" x14ac:dyDescent="0.25">
      <c r="A18" s="28" t="s">
        <v>49</v>
      </c>
      <c r="B18" s="27">
        <v>1822999</v>
      </c>
      <c r="C18" s="27">
        <v>0</v>
      </c>
      <c r="D18" s="6">
        <f t="shared" si="2"/>
        <v>0</v>
      </c>
    </row>
    <row r="19" spans="1:23" x14ac:dyDescent="0.25">
      <c r="A19" s="28" t="s">
        <v>84</v>
      </c>
      <c r="B19" s="27">
        <f>S5</f>
        <v>1233616.1200000001</v>
      </c>
      <c r="C19" s="27">
        <f>(D19*2000)/B19</f>
        <v>821.32445059164752</v>
      </c>
      <c r="D19" s="6">
        <f>T5</f>
        <v>506599.54100000003</v>
      </c>
    </row>
    <row r="20" spans="1:23" ht="15.75" x14ac:dyDescent="0.25">
      <c r="A20" s="28" t="s">
        <v>188</v>
      </c>
      <c r="B20" s="27">
        <v>0</v>
      </c>
      <c r="C20" s="27">
        <v>0</v>
      </c>
      <c r="D20" s="6">
        <f t="shared" si="2"/>
        <v>0</v>
      </c>
      <c r="G20" s="81" t="s">
        <v>116</v>
      </c>
      <c r="H20" s="82"/>
      <c r="I20" s="83"/>
      <c r="J20" s="83"/>
      <c r="K20" s="163" t="s">
        <v>117</v>
      </c>
      <c r="L20" s="164"/>
      <c r="M20" s="163" t="s">
        <v>118</v>
      </c>
      <c r="N20" s="165"/>
      <c r="O20" s="165"/>
      <c r="P20" s="165"/>
      <c r="Q20" s="164"/>
      <c r="R20" s="163" t="s">
        <v>119</v>
      </c>
      <c r="S20" s="165"/>
      <c r="T20" s="84" t="s">
        <v>120</v>
      </c>
      <c r="U20" s="84" t="s">
        <v>121</v>
      </c>
      <c r="V20" s="163" t="s">
        <v>122</v>
      </c>
      <c r="W20" s="164"/>
    </row>
    <row r="21" spans="1:23" ht="15.75" x14ac:dyDescent="0.25">
      <c r="A21" s="28" t="s">
        <v>189</v>
      </c>
      <c r="B21" s="27">
        <v>317919</v>
      </c>
      <c r="C21" s="27">
        <v>0</v>
      </c>
      <c r="D21" s="6">
        <f t="shared" si="2"/>
        <v>0</v>
      </c>
      <c r="G21" s="85" t="s">
        <v>123</v>
      </c>
      <c r="H21" s="86">
        <v>2012</v>
      </c>
      <c r="I21" s="83"/>
      <c r="J21" s="87"/>
      <c r="K21" s="88" t="s">
        <v>124</v>
      </c>
      <c r="L21" s="88" t="s">
        <v>125</v>
      </c>
      <c r="M21" s="89" t="s">
        <v>126</v>
      </c>
      <c r="N21" s="90" t="s">
        <v>127</v>
      </c>
      <c r="O21" s="89" t="s">
        <v>128</v>
      </c>
      <c r="P21" s="89" t="s">
        <v>129</v>
      </c>
      <c r="Q21" s="89" t="s">
        <v>130</v>
      </c>
      <c r="R21" s="90" t="s">
        <v>131</v>
      </c>
      <c r="S21" s="90" t="s">
        <v>132</v>
      </c>
      <c r="T21" s="91" t="s">
        <v>133</v>
      </c>
      <c r="U21" s="91" t="s">
        <v>134</v>
      </c>
      <c r="V21" s="91" t="s">
        <v>135</v>
      </c>
      <c r="W21" s="92" t="s">
        <v>136</v>
      </c>
    </row>
    <row r="22" spans="1:23" ht="75.75" x14ac:dyDescent="0.25">
      <c r="A22" s="28" t="s">
        <v>190</v>
      </c>
      <c r="B22" s="27">
        <v>3239</v>
      </c>
      <c r="C22" s="27">
        <v>0</v>
      </c>
      <c r="D22" s="6">
        <f t="shared" si="2"/>
        <v>0</v>
      </c>
      <c r="G22" s="93"/>
      <c r="H22" s="94"/>
      <c r="I22" s="95"/>
      <c r="J22" s="96"/>
      <c r="K22" s="97" t="s">
        <v>137</v>
      </c>
      <c r="L22" s="97" t="s">
        <v>138</v>
      </c>
      <c r="M22" s="97" t="s">
        <v>139</v>
      </c>
      <c r="N22" s="97" t="s">
        <v>140</v>
      </c>
      <c r="O22" s="97" t="s">
        <v>141</v>
      </c>
      <c r="P22" s="97" t="s">
        <v>142</v>
      </c>
      <c r="Q22" s="97" t="s">
        <v>143</v>
      </c>
      <c r="R22" s="98" t="s">
        <v>144</v>
      </c>
      <c r="S22" s="98" t="s">
        <v>145</v>
      </c>
      <c r="T22" s="98" t="s">
        <v>146</v>
      </c>
      <c r="U22" s="98" t="s">
        <v>147</v>
      </c>
      <c r="V22" s="98" t="s">
        <v>148</v>
      </c>
      <c r="W22" s="99" t="s">
        <v>149</v>
      </c>
    </row>
    <row r="23" spans="1:23" ht="45" x14ac:dyDescent="0.25">
      <c r="A23" s="28" t="s">
        <v>191</v>
      </c>
      <c r="B23" s="27">
        <v>332137</v>
      </c>
      <c r="C23" s="27">
        <v>0</v>
      </c>
      <c r="D23" s="6">
        <f t="shared" si="2"/>
        <v>0</v>
      </c>
      <c r="G23" s="100"/>
      <c r="H23" s="82"/>
      <c r="I23" s="101"/>
      <c r="J23" s="87"/>
      <c r="K23" s="102"/>
      <c r="L23" s="102"/>
      <c r="M23" s="102"/>
      <c r="N23" s="102"/>
      <c r="O23" s="103" t="s">
        <v>150</v>
      </c>
      <c r="P23" s="103" t="s">
        <v>151</v>
      </c>
      <c r="Q23" s="103"/>
      <c r="R23" s="104"/>
      <c r="S23" s="104"/>
      <c r="T23" s="105"/>
      <c r="U23" s="105"/>
      <c r="V23" s="99" t="s">
        <v>152</v>
      </c>
      <c r="W23" s="106" t="s">
        <v>153</v>
      </c>
    </row>
    <row r="24" spans="1:23" x14ac:dyDescent="0.25">
      <c r="A24" s="28" t="s">
        <v>192</v>
      </c>
      <c r="B24" s="27">
        <v>11140</v>
      </c>
      <c r="C24" s="27">
        <v>0</v>
      </c>
      <c r="D24" s="6">
        <f t="shared" si="2"/>
        <v>0</v>
      </c>
      <c r="G24" s="107">
        <v>0</v>
      </c>
      <c r="H24" s="108" t="s">
        <v>154</v>
      </c>
      <c r="I24" s="109" t="s">
        <v>100</v>
      </c>
      <c r="J24" s="110">
        <v>0.5</v>
      </c>
      <c r="K24" s="111">
        <v>1000</v>
      </c>
      <c r="L24" s="112" t="s">
        <v>155</v>
      </c>
      <c r="M24" s="113">
        <v>5.0999999999999997E-2</v>
      </c>
      <c r="N24" s="114" t="s">
        <v>156</v>
      </c>
      <c r="O24" s="112" t="s">
        <v>157</v>
      </c>
      <c r="P24" s="111">
        <f>K24*M24</f>
        <v>51</v>
      </c>
      <c r="Q24" s="115" t="s">
        <v>158</v>
      </c>
      <c r="R24" s="116">
        <v>14</v>
      </c>
      <c r="S24" s="112" t="s">
        <v>159</v>
      </c>
      <c r="T24" s="117">
        <v>1</v>
      </c>
      <c r="U24" s="118">
        <v>1</v>
      </c>
      <c r="V24" s="119">
        <f>+P24*R24*T24*U24*3.66666666666667</f>
        <v>2618.0000000000023</v>
      </c>
      <c r="W24" s="120">
        <f>V24/1000</f>
        <v>2.6180000000000021</v>
      </c>
    </row>
    <row r="25" spans="1:23" x14ac:dyDescent="0.25">
      <c r="A25" s="28" t="s">
        <v>193</v>
      </c>
      <c r="B25" s="27">
        <v>80350</v>
      </c>
      <c r="C25" s="27">
        <v>0</v>
      </c>
      <c r="D25" s="6">
        <f t="shared" si="2"/>
        <v>0</v>
      </c>
      <c r="G25" s="121" t="s">
        <v>160</v>
      </c>
      <c r="H25" s="121" t="s">
        <v>161</v>
      </c>
      <c r="I25" s="122" t="s">
        <v>162</v>
      </c>
      <c r="J25" s="122" t="s">
        <v>163</v>
      </c>
      <c r="K25" s="123"/>
      <c r="L25" s="124"/>
      <c r="M25" s="124"/>
      <c r="N25" s="124"/>
      <c r="O25" s="124"/>
      <c r="P25" s="124"/>
      <c r="Q25" s="124"/>
      <c r="R25" s="125"/>
      <c r="S25" s="126"/>
      <c r="T25" s="127"/>
      <c r="U25" s="127"/>
      <c r="V25" s="127"/>
      <c r="W25" s="124"/>
    </row>
    <row r="26" spans="1:23" ht="30" x14ac:dyDescent="0.25">
      <c r="A26" s="28" t="s">
        <v>194</v>
      </c>
      <c r="B26" s="27">
        <v>1142</v>
      </c>
      <c r="C26" s="27">
        <v>0</v>
      </c>
      <c r="D26" s="6">
        <f t="shared" si="2"/>
        <v>0</v>
      </c>
      <c r="G26" s="128">
        <v>1</v>
      </c>
      <c r="H26" s="76" t="s">
        <v>36</v>
      </c>
      <c r="I26" s="76" t="s">
        <v>98</v>
      </c>
      <c r="J26" s="129">
        <v>0.15</v>
      </c>
      <c r="K26" s="130">
        <v>949474</v>
      </c>
      <c r="L26" s="131" t="s">
        <v>164</v>
      </c>
      <c r="M26" s="132">
        <v>17.024999999999999</v>
      </c>
      <c r="N26" s="131" t="s">
        <v>165</v>
      </c>
      <c r="O26" s="131" t="s">
        <v>157</v>
      </c>
      <c r="P26" s="133">
        <f>K26*M26</f>
        <v>16164794.849999998</v>
      </c>
      <c r="Q26" s="134" t="s">
        <v>166</v>
      </c>
      <c r="R26" s="135">
        <v>93.4</v>
      </c>
      <c r="S26" s="134" t="s">
        <v>167</v>
      </c>
      <c r="T26" s="136">
        <v>0.98</v>
      </c>
      <c r="U26" s="137">
        <v>1</v>
      </c>
      <c r="V26" s="138">
        <f t="shared" ref="V26:V32" si="3">+P26*R26*T26*U26</f>
        <v>1479596002.2101998</v>
      </c>
      <c r="W26" s="138">
        <f t="shared" ref="W26:W32" si="4">V26/1000</f>
        <v>1479596.0022101998</v>
      </c>
    </row>
    <row r="27" spans="1:23" ht="25.5" x14ac:dyDescent="0.25">
      <c r="A27" s="28" t="s">
        <v>195</v>
      </c>
      <c r="B27" s="27">
        <v>61450</v>
      </c>
      <c r="C27" s="27">
        <v>0</v>
      </c>
      <c r="D27" s="6">
        <f t="shared" si="2"/>
        <v>0</v>
      </c>
      <c r="G27" s="128">
        <f t="shared" ref="G27:G32" si="5">G26+1</f>
        <v>2</v>
      </c>
      <c r="H27" s="76" t="s">
        <v>36</v>
      </c>
      <c r="I27" s="76" t="s">
        <v>168</v>
      </c>
      <c r="J27" s="139">
        <v>0.15</v>
      </c>
      <c r="K27" s="130">
        <v>1508</v>
      </c>
      <c r="L27" s="131" t="s">
        <v>169</v>
      </c>
      <c r="M27" s="135">
        <f>140000*42/1000000</f>
        <v>5.88</v>
      </c>
      <c r="N27" s="140" t="s">
        <v>170</v>
      </c>
      <c r="O27" s="131" t="s">
        <v>157</v>
      </c>
      <c r="P27" s="133">
        <f>(K27*M27)</f>
        <v>8867.0399999999991</v>
      </c>
      <c r="Q27" s="134" t="s">
        <v>166</v>
      </c>
      <c r="R27" s="135">
        <v>73.959999999999994</v>
      </c>
      <c r="S27" s="134" t="s">
        <v>167</v>
      </c>
      <c r="T27" s="136">
        <v>0.99</v>
      </c>
      <c r="U27" s="137">
        <v>1</v>
      </c>
      <c r="V27" s="138">
        <f t="shared" si="3"/>
        <v>649248.21561599988</v>
      </c>
      <c r="W27" s="138">
        <f t="shared" si="4"/>
        <v>649.24821561599992</v>
      </c>
    </row>
    <row r="28" spans="1:23" x14ac:dyDescent="0.25">
      <c r="A28" s="28" t="s">
        <v>196</v>
      </c>
      <c r="B28" s="27">
        <v>47</v>
      </c>
      <c r="C28" s="27">
        <v>0</v>
      </c>
      <c r="D28" s="6">
        <f t="shared" si="2"/>
        <v>0</v>
      </c>
      <c r="G28" s="128">
        <f t="shared" si="5"/>
        <v>3</v>
      </c>
      <c r="H28" s="76" t="s">
        <v>171</v>
      </c>
      <c r="I28" s="76" t="s">
        <v>100</v>
      </c>
      <c r="J28" s="139">
        <v>1</v>
      </c>
      <c r="K28" s="135">
        <v>92.54</v>
      </c>
      <c r="L28" s="131" t="s">
        <v>172</v>
      </c>
      <c r="M28" s="141">
        <v>1028</v>
      </c>
      <c r="N28" s="131" t="s">
        <v>173</v>
      </c>
      <c r="O28" s="131" t="s">
        <v>157</v>
      </c>
      <c r="P28" s="133">
        <f t="shared" ref="P28:P32" si="6">K28*M28</f>
        <v>95131.12000000001</v>
      </c>
      <c r="Q28" s="134" t="s">
        <v>166</v>
      </c>
      <c r="R28" s="135">
        <v>53.02</v>
      </c>
      <c r="S28" s="134" t="s">
        <v>167</v>
      </c>
      <c r="T28" s="136">
        <v>0.995</v>
      </c>
      <c r="U28" s="137">
        <v>1</v>
      </c>
      <c r="V28" s="138">
        <f t="shared" si="3"/>
        <v>5018632.722488001</v>
      </c>
      <c r="W28" s="138">
        <f t="shared" si="4"/>
        <v>5018.6327224880006</v>
      </c>
    </row>
    <row r="29" spans="1:23" x14ac:dyDescent="0.25">
      <c r="A29" s="28" t="s">
        <v>197</v>
      </c>
      <c r="B29" s="27">
        <f>188173+139650+44507</f>
        <v>372330</v>
      </c>
      <c r="C29" s="27">
        <v>0</v>
      </c>
      <c r="D29" s="6">
        <f t="shared" si="2"/>
        <v>0</v>
      </c>
      <c r="G29" s="128">
        <f t="shared" si="5"/>
        <v>4</v>
      </c>
      <c r="H29" s="76" t="s">
        <v>174</v>
      </c>
      <c r="I29" s="76" t="s">
        <v>100</v>
      </c>
      <c r="J29" s="139">
        <v>1</v>
      </c>
      <c r="K29" s="135">
        <v>2.76</v>
      </c>
      <c r="L29" s="131" t="s">
        <v>172</v>
      </c>
      <c r="M29" s="141">
        <v>1028</v>
      </c>
      <c r="N29" s="131" t="s">
        <v>173</v>
      </c>
      <c r="O29" s="131" t="s">
        <v>157</v>
      </c>
      <c r="P29" s="133">
        <f t="shared" si="6"/>
        <v>2837.2799999999997</v>
      </c>
      <c r="Q29" s="134" t="s">
        <v>166</v>
      </c>
      <c r="R29" s="135">
        <v>53.02</v>
      </c>
      <c r="S29" s="134" t="s">
        <v>167</v>
      </c>
      <c r="T29" s="136">
        <v>0.995</v>
      </c>
      <c r="U29" s="137">
        <v>1</v>
      </c>
      <c r="V29" s="138">
        <f t="shared" si="3"/>
        <v>149680.42267199999</v>
      </c>
      <c r="W29" s="138">
        <f t="shared" si="4"/>
        <v>149.68042267199999</v>
      </c>
    </row>
    <row r="30" spans="1:23" x14ac:dyDescent="0.25">
      <c r="A30" s="28" t="s">
        <v>198</v>
      </c>
      <c r="B30" s="27">
        <v>7249</v>
      </c>
      <c r="C30" s="27">
        <v>0</v>
      </c>
      <c r="D30" s="6">
        <f t="shared" si="2"/>
        <v>0</v>
      </c>
      <c r="G30" s="128">
        <f t="shared" si="5"/>
        <v>5</v>
      </c>
      <c r="H30" s="76" t="s">
        <v>39</v>
      </c>
      <c r="I30" s="76" t="s">
        <v>100</v>
      </c>
      <c r="J30" s="139">
        <v>1</v>
      </c>
      <c r="K30" s="135">
        <v>48.88</v>
      </c>
      <c r="L30" s="131" t="s">
        <v>172</v>
      </c>
      <c r="M30" s="141">
        <v>1028</v>
      </c>
      <c r="N30" s="131" t="s">
        <v>173</v>
      </c>
      <c r="O30" s="131" t="s">
        <v>157</v>
      </c>
      <c r="P30" s="133">
        <f t="shared" si="6"/>
        <v>50248.639999999999</v>
      </c>
      <c r="Q30" s="134" t="s">
        <v>166</v>
      </c>
      <c r="R30" s="135">
        <v>53.02</v>
      </c>
      <c r="S30" s="134" t="s">
        <v>167</v>
      </c>
      <c r="T30" s="136">
        <v>0.995</v>
      </c>
      <c r="U30" s="137">
        <v>1</v>
      </c>
      <c r="V30" s="138">
        <f t="shared" si="3"/>
        <v>2650861.9783359999</v>
      </c>
      <c r="W30" s="138">
        <f t="shared" si="4"/>
        <v>2650.861978336</v>
      </c>
    </row>
    <row r="31" spans="1:23" x14ac:dyDescent="0.25">
      <c r="A31" s="28" t="s">
        <v>199</v>
      </c>
      <c r="B31" s="27">
        <v>51735</v>
      </c>
      <c r="C31" s="27"/>
      <c r="D31" s="6">
        <f t="shared" si="2"/>
        <v>0</v>
      </c>
      <c r="G31" s="128">
        <f t="shared" si="5"/>
        <v>6</v>
      </c>
      <c r="H31" s="76" t="s">
        <v>40</v>
      </c>
      <c r="I31" s="76" t="s">
        <v>100</v>
      </c>
      <c r="J31" s="139">
        <v>1</v>
      </c>
      <c r="K31" s="135">
        <v>7783.94</v>
      </c>
      <c r="L31" s="131" t="s">
        <v>172</v>
      </c>
      <c r="M31" s="141">
        <v>1028</v>
      </c>
      <c r="N31" s="131" t="s">
        <v>173</v>
      </c>
      <c r="O31" s="131" t="s">
        <v>157</v>
      </c>
      <c r="P31" s="133">
        <f t="shared" si="6"/>
        <v>8001890.3199999994</v>
      </c>
      <c r="Q31" s="134" t="s">
        <v>166</v>
      </c>
      <c r="R31" s="135">
        <v>53.02</v>
      </c>
      <c r="S31" s="134" t="s">
        <v>167</v>
      </c>
      <c r="T31" s="136">
        <v>0.995</v>
      </c>
      <c r="U31" s="137">
        <v>1</v>
      </c>
      <c r="V31" s="138">
        <f t="shared" si="3"/>
        <v>422138923.64256799</v>
      </c>
      <c r="W31" s="138">
        <f t="shared" si="4"/>
        <v>422138.923642568</v>
      </c>
    </row>
    <row r="32" spans="1:23" x14ac:dyDescent="0.25">
      <c r="A32" s="28" t="s">
        <v>200</v>
      </c>
      <c r="B32" s="27">
        <v>1355</v>
      </c>
      <c r="C32" s="27"/>
      <c r="D32" s="6">
        <f t="shared" si="2"/>
        <v>0</v>
      </c>
      <c r="G32" s="128">
        <f t="shared" si="5"/>
        <v>7</v>
      </c>
      <c r="H32" s="76" t="s">
        <v>41</v>
      </c>
      <c r="I32" s="76" t="s">
        <v>100</v>
      </c>
      <c r="J32" s="139">
        <v>1</v>
      </c>
      <c r="K32" s="135">
        <v>3.62</v>
      </c>
      <c r="L32" s="131" t="s">
        <v>172</v>
      </c>
      <c r="M32" s="141">
        <v>1028</v>
      </c>
      <c r="N32" s="131" t="s">
        <v>173</v>
      </c>
      <c r="O32" s="131" t="s">
        <v>157</v>
      </c>
      <c r="P32" s="133">
        <f t="shared" si="6"/>
        <v>3721.36</v>
      </c>
      <c r="Q32" s="134" t="s">
        <v>166</v>
      </c>
      <c r="R32" s="135">
        <v>53.02</v>
      </c>
      <c r="S32" s="134" t="s">
        <v>167</v>
      </c>
      <c r="T32" s="136">
        <v>0.995</v>
      </c>
      <c r="U32" s="137">
        <v>1</v>
      </c>
      <c r="V32" s="138">
        <f t="shared" si="3"/>
        <v>196319.97466400001</v>
      </c>
      <c r="W32" s="138">
        <f t="shared" si="4"/>
        <v>196.319974664</v>
      </c>
    </row>
    <row r="33" spans="1:18" x14ac:dyDescent="0.25">
      <c r="A33" s="28" t="s">
        <v>201</v>
      </c>
      <c r="B33" s="27">
        <v>35383</v>
      </c>
      <c r="C33" s="27"/>
      <c r="D33" s="6">
        <f t="shared" si="2"/>
        <v>0</v>
      </c>
    </row>
    <row r="34" spans="1:18" x14ac:dyDescent="0.25">
      <c r="A34" s="28"/>
      <c r="B34" s="27"/>
      <c r="C34" s="27"/>
      <c r="D34" s="6">
        <f t="shared" si="2"/>
        <v>0</v>
      </c>
      <c r="G34" t="s">
        <v>175</v>
      </c>
      <c r="H34" t="s">
        <v>176</v>
      </c>
      <c r="I34" t="s">
        <v>177</v>
      </c>
      <c r="J34" t="s">
        <v>178</v>
      </c>
      <c r="K34" t="s">
        <v>179</v>
      </c>
      <c r="L34" t="s">
        <v>180</v>
      </c>
      <c r="M34" t="s">
        <v>181</v>
      </c>
      <c r="N34" t="s">
        <v>182</v>
      </c>
      <c r="O34" t="s">
        <v>183</v>
      </c>
    </row>
    <row r="35" spans="1:18" x14ac:dyDescent="0.25">
      <c r="A35" s="28"/>
      <c r="B35" s="27"/>
      <c r="C35" s="27"/>
      <c r="D35" s="6">
        <f t="shared" si="2"/>
        <v>0</v>
      </c>
      <c r="G35" t="s">
        <v>184</v>
      </c>
      <c r="H35" t="s">
        <v>185</v>
      </c>
      <c r="I35">
        <v>55179</v>
      </c>
      <c r="J35" t="s">
        <v>186</v>
      </c>
      <c r="L35">
        <v>2012</v>
      </c>
      <c r="M35" t="s">
        <v>187</v>
      </c>
      <c r="N35">
        <v>506599.54100000003</v>
      </c>
      <c r="O35">
        <v>8524452.4130000006</v>
      </c>
    </row>
    <row r="36" spans="1:18" x14ac:dyDescent="0.25">
      <c r="A36" s="28"/>
      <c r="B36" s="27"/>
      <c r="C36" s="27"/>
      <c r="D36" s="6">
        <f t="shared" si="2"/>
        <v>0</v>
      </c>
    </row>
    <row r="37" spans="1:18" x14ac:dyDescent="0.25">
      <c r="A37" s="28"/>
      <c r="B37" s="27"/>
      <c r="C37" s="27"/>
      <c r="D37" s="6">
        <f t="shared" si="2"/>
        <v>0</v>
      </c>
      <c r="F37" s="71"/>
      <c r="G37" s="71"/>
      <c r="H37" s="71"/>
      <c r="I37" s="72"/>
      <c r="J37" s="73"/>
      <c r="K37" s="73"/>
      <c r="L37" s="74"/>
    </row>
    <row r="38" spans="1:18" x14ac:dyDescent="0.25">
      <c r="A38" s="28"/>
      <c r="B38" s="27"/>
      <c r="C38" s="27"/>
      <c r="D38" s="6">
        <f t="shared" si="2"/>
        <v>0</v>
      </c>
      <c r="F38" s="71"/>
      <c r="G38" s="71"/>
      <c r="H38" s="72"/>
      <c r="I38" s="73"/>
      <c r="J38" s="73"/>
      <c r="K38" s="74"/>
      <c r="L38" s="74"/>
      <c r="M38" s="74"/>
      <c r="N38" s="75"/>
      <c r="O38" s="75"/>
      <c r="P38" s="75"/>
      <c r="Q38" s="75"/>
      <c r="R38" s="75"/>
    </row>
    <row r="39" spans="1:18" x14ac:dyDescent="0.25">
      <c r="A39" s="28"/>
      <c r="B39" s="27"/>
      <c r="C39" s="27"/>
      <c r="D39" s="6">
        <f t="shared" si="2"/>
        <v>0</v>
      </c>
      <c r="F39" s="71"/>
      <c r="G39" s="71"/>
      <c r="H39" s="71"/>
      <c r="I39" s="72"/>
      <c r="J39" s="73"/>
      <c r="K39" s="73"/>
      <c r="L39" s="74"/>
    </row>
    <row r="40" spans="1:18" ht="15.75" thickBot="1" x14ac:dyDescent="0.3">
      <c r="A40" s="29"/>
      <c r="B40" s="30"/>
      <c r="C40" s="30"/>
      <c r="D40" s="9">
        <f t="shared" si="2"/>
        <v>0</v>
      </c>
      <c r="G40" s="71"/>
      <c r="H40" s="71"/>
      <c r="I40" s="72"/>
      <c r="J40" s="73"/>
      <c r="K40" s="73"/>
      <c r="L40" s="74"/>
    </row>
    <row r="41" spans="1:18" ht="16.5" thickTop="1" thickBot="1" x14ac:dyDescent="0.3">
      <c r="A41" s="1"/>
      <c r="B41" s="10">
        <f>SUM(B4:B40)</f>
        <v>9565055.3579999991</v>
      </c>
      <c r="C41" s="153">
        <f>(D41*2000)/B41</f>
        <v>564.44898161618482</v>
      </c>
      <c r="D41" s="10">
        <f>SUM(D4:D40)</f>
        <v>2699492.8779627657</v>
      </c>
      <c r="G41" s="71"/>
      <c r="H41" s="71"/>
      <c r="I41" s="72"/>
      <c r="J41" s="73"/>
      <c r="K41" s="73"/>
      <c r="L41" s="74"/>
    </row>
  </sheetData>
  <mergeCells count="4">
    <mergeCell ref="K20:L20"/>
    <mergeCell ref="M20:Q20"/>
    <mergeCell ref="R20:S20"/>
    <mergeCell ref="V20:W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41" workbookViewId="0">
      <selection activeCell="G67" sqref="G67"/>
    </sheetView>
  </sheetViews>
  <sheetFormatPr defaultRowHeight="15" x14ac:dyDescent="0.25"/>
  <cols>
    <col min="1" max="1" width="48.85546875" bestFit="1" customWidth="1"/>
    <col min="2" max="2" width="10.42578125" customWidth="1"/>
    <col min="4" max="4" width="50" bestFit="1" customWidth="1"/>
    <col min="7" max="8" width="14.28515625" bestFit="1" customWidth="1"/>
  </cols>
  <sheetData>
    <row r="1" spans="1:8" ht="15.75" x14ac:dyDescent="0.25">
      <c r="A1" s="156" t="s">
        <v>239</v>
      </c>
      <c r="B1" s="156">
        <v>2012</v>
      </c>
    </row>
    <row r="2" spans="1:8" ht="15.75" x14ac:dyDescent="0.25">
      <c r="D2" s="166" t="s">
        <v>230</v>
      </c>
      <c r="E2" s="166"/>
      <c r="F2" s="166"/>
      <c r="G2" s="33">
        <v>903.1</v>
      </c>
      <c r="H2" s="151" t="s">
        <v>227</v>
      </c>
    </row>
    <row r="3" spans="1:8" x14ac:dyDescent="0.25">
      <c r="A3" s="144"/>
      <c r="B3" s="143"/>
      <c r="D3" s="145"/>
      <c r="F3" t="s">
        <v>226</v>
      </c>
      <c r="G3" s="151">
        <f>'Known Resources'!C41</f>
        <v>564.44898161618482</v>
      </c>
      <c r="H3" s="151" t="s">
        <v>227</v>
      </c>
    </row>
    <row r="4" spans="1:8" ht="45" x14ac:dyDescent="0.25">
      <c r="A4" s="152" t="s">
        <v>204</v>
      </c>
      <c r="B4" s="152" t="s">
        <v>205</v>
      </c>
      <c r="C4" s="152"/>
      <c r="D4" s="152" t="s">
        <v>204</v>
      </c>
      <c r="E4" s="152" t="s">
        <v>206</v>
      </c>
      <c r="F4" s="152" t="s">
        <v>224</v>
      </c>
      <c r="G4" s="152" t="s">
        <v>228</v>
      </c>
      <c r="H4" s="152"/>
    </row>
    <row r="5" spans="1:8" x14ac:dyDescent="0.25">
      <c r="A5" s="71" t="s">
        <v>207</v>
      </c>
      <c r="B5" s="74">
        <v>0</v>
      </c>
      <c r="D5" s="146" t="s">
        <v>207</v>
      </c>
      <c r="E5" s="147">
        <v>3000</v>
      </c>
      <c r="F5" s="148">
        <f>B5-E5</f>
        <v>-3000</v>
      </c>
      <c r="G5" s="151">
        <f>IF(F5&gt;0,F5*$G$2,F5*$G$3)</f>
        <v>-1693346.9448485544</v>
      </c>
      <c r="H5" s="151"/>
    </row>
    <row r="6" spans="1:8" x14ac:dyDescent="0.25">
      <c r="A6" s="71" t="s">
        <v>208</v>
      </c>
      <c r="B6" s="74">
        <v>10075</v>
      </c>
      <c r="D6" s="146" t="s">
        <v>208</v>
      </c>
      <c r="E6" s="147">
        <v>5232</v>
      </c>
      <c r="F6" s="148">
        <f t="shared" ref="F6" si="0">B6-E6</f>
        <v>4843</v>
      </c>
      <c r="G6" s="151">
        <f t="shared" ref="G6:G65" si="1">IF(F6&gt;0,F6*$G$2,F6*$G$3)</f>
        <v>4373713.3</v>
      </c>
      <c r="H6" s="151"/>
    </row>
    <row r="7" spans="1:8" x14ac:dyDescent="0.25">
      <c r="A7" s="71" t="s">
        <v>209</v>
      </c>
      <c r="B7" s="74">
        <v>652014</v>
      </c>
      <c r="C7" s="74"/>
      <c r="D7" s="146" t="s">
        <v>209</v>
      </c>
      <c r="E7" s="147">
        <v>185561</v>
      </c>
      <c r="F7" s="148">
        <f t="shared" ref="F7:F65" si="2">B7-E7</f>
        <v>466453</v>
      </c>
      <c r="G7" s="151">
        <f t="shared" si="1"/>
        <v>421253704.30000001</v>
      </c>
      <c r="H7" s="151"/>
    </row>
    <row r="8" spans="1:8" x14ac:dyDescent="0.25">
      <c r="A8" s="71" t="s">
        <v>51</v>
      </c>
      <c r="B8" s="74">
        <v>219559</v>
      </c>
      <c r="C8" s="74"/>
      <c r="D8" s="146" t="s">
        <v>51</v>
      </c>
      <c r="E8" s="147">
        <v>113231</v>
      </c>
      <c r="F8" s="148">
        <f t="shared" si="2"/>
        <v>106328</v>
      </c>
      <c r="G8" s="151">
        <f t="shared" si="1"/>
        <v>96024816.799999997</v>
      </c>
      <c r="H8" s="151"/>
    </row>
    <row r="9" spans="1:8" x14ac:dyDescent="0.25">
      <c r="A9" s="71"/>
      <c r="B9" s="74"/>
      <c r="C9" s="74"/>
      <c r="D9" s="146" t="s">
        <v>210</v>
      </c>
      <c r="E9" s="147">
        <v>42</v>
      </c>
      <c r="F9" s="148">
        <f t="shared" si="2"/>
        <v>-42</v>
      </c>
      <c r="G9" s="151">
        <f t="shared" si="1"/>
        <v>-23706.857227879762</v>
      </c>
      <c r="H9" s="151"/>
    </row>
    <row r="10" spans="1:8" x14ac:dyDescent="0.25">
      <c r="A10" s="71" t="s">
        <v>52</v>
      </c>
      <c r="B10" s="74">
        <v>1200</v>
      </c>
      <c r="C10" s="74"/>
      <c r="D10" s="146" t="s">
        <v>52</v>
      </c>
      <c r="E10" s="147">
        <v>1800</v>
      </c>
      <c r="F10" s="148">
        <f t="shared" si="2"/>
        <v>-600</v>
      </c>
      <c r="G10" s="151">
        <f t="shared" si="1"/>
        <v>-338669.38896971091</v>
      </c>
      <c r="H10" s="151"/>
    </row>
    <row r="11" spans="1:8" x14ac:dyDescent="0.25">
      <c r="A11" s="71"/>
      <c r="B11" s="74"/>
      <c r="C11" s="74"/>
      <c r="D11" s="146" t="s">
        <v>211</v>
      </c>
      <c r="E11" s="147">
        <v>800</v>
      </c>
      <c r="F11" s="148">
        <f t="shared" si="2"/>
        <v>-800</v>
      </c>
      <c r="G11" s="151">
        <f t="shared" si="1"/>
        <v>-451559.18529294786</v>
      </c>
      <c r="H11" s="151"/>
    </row>
    <row r="12" spans="1:8" x14ac:dyDescent="0.25">
      <c r="A12" s="71" t="s">
        <v>53</v>
      </c>
      <c r="B12" s="74">
        <v>217577</v>
      </c>
      <c r="D12" s="146" t="s">
        <v>53</v>
      </c>
      <c r="E12" s="147">
        <v>256448</v>
      </c>
      <c r="F12" s="148">
        <f t="shared" si="2"/>
        <v>-38871</v>
      </c>
      <c r="G12" s="151">
        <f t="shared" si="1"/>
        <v>-21940696.364402719</v>
      </c>
      <c r="H12" s="151"/>
    </row>
    <row r="13" spans="1:8" x14ac:dyDescent="0.25">
      <c r="A13" s="71" t="s">
        <v>54</v>
      </c>
      <c r="B13" s="74">
        <v>118032</v>
      </c>
      <c r="D13" s="146" t="s">
        <v>54</v>
      </c>
      <c r="E13" s="147">
        <v>475617</v>
      </c>
      <c r="F13" s="148">
        <f t="shared" si="2"/>
        <v>-357585</v>
      </c>
      <c r="G13" s="151">
        <f t="shared" si="1"/>
        <v>-201838489.09122345</v>
      </c>
      <c r="H13" s="151"/>
    </row>
    <row r="14" spans="1:8" x14ac:dyDescent="0.25">
      <c r="A14" s="71" t="s">
        <v>55</v>
      </c>
      <c r="B14" s="74">
        <v>5824</v>
      </c>
      <c r="D14" s="146" t="s">
        <v>55</v>
      </c>
      <c r="E14" s="147">
        <v>13022</v>
      </c>
      <c r="F14" s="148">
        <f t="shared" si="2"/>
        <v>-7198</v>
      </c>
      <c r="G14" s="151">
        <f t="shared" si="1"/>
        <v>-4062903.7696732986</v>
      </c>
      <c r="H14" s="151"/>
    </row>
    <row r="15" spans="1:8" x14ac:dyDescent="0.25">
      <c r="A15" s="71" t="s">
        <v>56</v>
      </c>
      <c r="B15" s="74">
        <v>147159</v>
      </c>
      <c r="D15" s="146" t="s">
        <v>56</v>
      </c>
      <c r="E15" s="147">
        <v>151169</v>
      </c>
      <c r="F15" s="148">
        <f t="shared" si="2"/>
        <v>-4010</v>
      </c>
      <c r="G15" s="151">
        <f t="shared" si="1"/>
        <v>-2263440.4162809011</v>
      </c>
      <c r="H15" s="151"/>
    </row>
    <row r="16" spans="1:8" x14ac:dyDescent="0.25">
      <c r="A16" s="71" t="s">
        <v>57</v>
      </c>
      <c r="B16" s="74">
        <v>10745</v>
      </c>
      <c r="D16" s="146" t="s">
        <v>57</v>
      </c>
      <c r="E16" s="147">
        <v>12283</v>
      </c>
      <c r="F16" s="148">
        <f t="shared" si="2"/>
        <v>-1538</v>
      </c>
      <c r="G16" s="151">
        <f t="shared" si="1"/>
        <v>-868122.53372569231</v>
      </c>
      <c r="H16" s="151"/>
    </row>
    <row r="17" spans="1:8" x14ac:dyDescent="0.25">
      <c r="A17" s="71" t="s">
        <v>58</v>
      </c>
      <c r="B17" s="74">
        <v>7990</v>
      </c>
      <c r="D17" s="146" t="s">
        <v>58</v>
      </c>
      <c r="E17" s="147">
        <v>4429</v>
      </c>
      <c r="F17" s="148">
        <f t="shared" si="2"/>
        <v>3561</v>
      </c>
      <c r="G17" s="151">
        <f t="shared" si="1"/>
        <v>3215939.1</v>
      </c>
      <c r="H17" s="151"/>
    </row>
    <row r="18" spans="1:8" x14ac:dyDescent="0.25">
      <c r="A18" s="71"/>
      <c r="B18" s="74"/>
      <c r="D18" s="146" t="s">
        <v>213</v>
      </c>
      <c r="E18" s="147">
        <v>3</v>
      </c>
      <c r="F18" s="148">
        <f t="shared" si="2"/>
        <v>-3</v>
      </c>
      <c r="G18" s="151">
        <f t="shared" si="1"/>
        <v>-1693.3469448485544</v>
      </c>
      <c r="H18" s="151"/>
    </row>
    <row r="19" spans="1:8" x14ac:dyDescent="0.25">
      <c r="A19" s="71" t="s">
        <v>212</v>
      </c>
      <c r="B19" s="74">
        <v>4150</v>
      </c>
      <c r="D19" s="146" t="s">
        <v>212</v>
      </c>
      <c r="E19" s="147">
        <v>45200</v>
      </c>
      <c r="F19" s="148">
        <f t="shared" si="2"/>
        <v>-41050</v>
      </c>
      <c r="G19" s="151">
        <f t="shared" si="1"/>
        <v>-23170630.695344388</v>
      </c>
      <c r="H19" s="151"/>
    </row>
    <row r="20" spans="1:8" x14ac:dyDescent="0.25">
      <c r="A20" s="71" t="s">
        <v>59</v>
      </c>
      <c r="B20" s="74">
        <v>79375</v>
      </c>
      <c r="D20" s="146" t="s">
        <v>59</v>
      </c>
      <c r="E20" s="147">
        <v>117600</v>
      </c>
      <c r="F20" s="148">
        <f t="shared" si="2"/>
        <v>-38225</v>
      </c>
      <c r="G20" s="151">
        <f t="shared" si="1"/>
        <v>-21576062.322278664</v>
      </c>
      <c r="H20" s="151"/>
    </row>
    <row r="21" spans="1:8" x14ac:dyDescent="0.25">
      <c r="A21" s="71" t="s">
        <v>60</v>
      </c>
      <c r="B21" s="74">
        <v>194544</v>
      </c>
      <c r="D21" s="146" t="s">
        <v>214</v>
      </c>
      <c r="E21" s="147">
        <v>227272</v>
      </c>
      <c r="F21" s="148">
        <f t="shared" si="2"/>
        <v>-32728</v>
      </c>
      <c r="G21" s="151">
        <f t="shared" si="1"/>
        <v>-18473286.270334497</v>
      </c>
      <c r="H21" s="151"/>
    </row>
    <row r="22" spans="1:8" x14ac:dyDescent="0.25">
      <c r="A22" s="71" t="s">
        <v>61</v>
      </c>
      <c r="B22" s="74">
        <v>37948</v>
      </c>
      <c r="D22" s="146" t="s">
        <v>61</v>
      </c>
      <c r="E22" s="147">
        <v>29338</v>
      </c>
      <c r="F22" s="148">
        <f t="shared" si="2"/>
        <v>8610</v>
      </c>
      <c r="G22" s="151">
        <f t="shared" si="1"/>
        <v>7775691</v>
      </c>
      <c r="H22" s="151"/>
    </row>
    <row r="23" spans="1:8" x14ac:dyDescent="0.25">
      <c r="A23" s="71" t="s">
        <v>215</v>
      </c>
      <c r="B23" s="74">
        <v>9044</v>
      </c>
      <c r="D23" s="146" t="s">
        <v>215</v>
      </c>
      <c r="E23" s="147">
        <v>15010</v>
      </c>
      <c r="F23" s="148">
        <f t="shared" si="2"/>
        <v>-5966</v>
      </c>
      <c r="G23" s="151">
        <f t="shared" si="1"/>
        <v>-3367502.6243221588</v>
      </c>
      <c r="H23" s="151"/>
    </row>
    <row r="24" spans="1:8" x14ac:dyDescent="0.25">
      <c r="A24" s="71" t="s">
        <v>62</v>
      </c>
      <c r="B24" s="74">
        <v>400</v>
      </c>
      <c r="D24" s="146" t="s">
        <v>62</v>
      </c>
      <c r="E24" s="147">
        <v>3600</v>
      </c>
      <c r="F24" s="148">
        <f t="shared" si="2"/>
        <v>-3200</v>
      </c>
      <c r="G24" s="151">
        <f t="shared" si="1"/>
        <v>-1806236.7411717915</v>
      </c>
      <c r="H24" s="151"/>
    </row>
    <row r="25" spans="1:8" x14ac:dyDescent="0.25">
      <c r="A25" s="149" t="s">
        <v>216</v>
      </c>
      <c r="B25" s="150">
        <v>26030</v>
      </c>
      <c r="D25" s="146" t="s">
        <v>216</v>
      </c>
      <c r="E25" s="147">
        <v>13684</v>
      </c>
      <c r="F25" s="148">
        <f t="shared" si="2"/>
        <v>12346</v>
      </c>
      <c r="G25" s="151">
        <f t="shared" si="1"/>
        <v>11149672.6</v>
      </c>
      <c r="H25" s="151"/>
    </row>
    <row r="26" spans="1:8" x14ac:dyDescent="0.25">
      <c r="A26" s="71" t="s">
        <v>63</v>
      </c>
      <c r="B26" s="74">
        <v>368848</v>
      </c>
      <c r="D26" s="146" t="s">
        <v>63</v>
      </c>
      <c r="E26" s="147">
        <v>649215</v>
      </c>
      <c r="F26" s="148">
        <f t="shared" si="2"/>
        <v>-280367</v>
      </c>
      <c r="G26" s="151">
        <f t="shared" si="1"/>
        <v>-158252867.62878489</v>
      </c>
      <c r="H26" s="151"/>
    </row>
    <row r="27" spans="1:8" x14ac:dyDescent="0.25">
      <c r="A27" s="71" t="s">
        <v>64</v>
      </c>
      <c r="B27" s="74">
        <v>2224</v>
      </c>
      <c r="D27" s="146"/>
      <c r="E27" s="147"/>
      <c r="F27" s="148">
        <f t="shared" si="2"/>
        <v>2224</v>
      </c>
      <c r="G27" s="151">
        <f t="shared" si="1"/>
        <v>2008494.4000000001</v>
      </c>
      <c r="H27" s="151"/>
    </row>
    <row r="28" spans="1:8" x14ac:dyDescent="0.25">
      <c r="A28" s="71" t="s">
        <v>65</v>
      </c>
      <c r="B28" s="74">
        <v>33296</v>
      </c>
      <c r="D28" s="146" t="s">
        <v>65</v>
      </c>
      <c r="E28" s="147">
        <v>142040</v>
      </c>
      <c r="F28" s="148">
        <f t="shared" si="2"/>
        <v>-108744</v>
      </c>
      <c r="G28" s="151">
        <f t="shared" si="1"/>
        <v>-61380440.056870401</v>
      </c>
      <c r="H28" s="151"/>
    </row>
    <row r="29" spans="1:8" x14ac:dyDescent="0.25">
      <c r="A29" s="71" t="s">
        <v>66</v>
      </c>
      <c r="B29" s="74">
        <v>92</v>
      </c>
      <c r="D29" s="146"/>
      <c r="E29" s="147"/>
      <c r="F29" s="148">
        <f t="shared" si="2"/>
        <v>92</v>
      </c>
      <c r="G29" s="151">
        <f t="shared" si="1"/>
        <v>83085.2</v>
      </c>
      <c r="H29" s="151"/>
    </row>
    <row r="30" spans="1:8" x14ac:dyDescent="0.25">
      <c r="A30" s="71" t="s">
        <v>217</v>
      </c>
      <c r="B30" s="74">
        <v>0</v>
      </c>
      <c r="D30" s="146"/>
      <c r="E30" s="147"/>
      <c r="F30" s="148">
        <f t="shared" si="2"/>
        <v>0</v>
      </c>
      <c r="G30" s="151">
        <f t="shared" si="1"/>
        <v>0</v>
      </c>
      <c r="H30" s="151"/>
    </row>
    <row r="31" spans="1:8" x14ac:dyDescent="0.25">
      <c r="A31" s="71"/>
      <c r="B31" s="74"/>
      <c r="D31" s="146" t="s">
        <v>218</v>
      </c>
      <c r="E31" s="147">
        <v>2600</v>
      </c>
      <c r="F31" s="148">
        <f t="shared" si="2"/>
        <v>-2600</v>
      </c>
      <c r="G31" s="151">
        <f t="shared" si="1"/>
        <v>-1467567.3522020807</v>
      </c>
      <c r="H31" s="151"/>
    </row>
    <row r="32" spans="1:8" x14ac:dyDescent="0.25">
      <c r="A32" s="71" t="s">
        <v>67</v>
      </c>
      <c r="B32" s="74">
        <v>488936</v>
      </c>
      <c r="D32" s="146" t="s">
        <v>219</v>
      </c>
      <c r="E32" s="147">
        <v>73235</v>
      </c>
      <c r="F32" s="148">
        <f t="shared" si="2"/>
        <v>415701</v>
      </c>
      <c r="G32" s="151">
        <f t="shared" si="1"/>
        <v>375419573.10000002</v>
      </c>
      <c r="H32" s="151"/>
    </row>
    <row r="33" spans="1:8" x14ac:dyDescent="0.25">
      <c r="A33" s="71" t="s">
        <v>68</v>
      </c>
      <c r="B33" s="74">
        <v>9535</v>
      </c>
      <c r="D33" s="146"/>
      <c r="E33" s="147"/>
      <c r="F33" s="148">
        <f t="shared" si="2"/>
        <v>9535</v>
      </c>
      <c r="G33" s="151">
        <f t="shared" si="1"/>
        <v>8611058.5</v>
      </c>
      <c r="H33" s="151"/>
    </row>
    <row r="34" spans="1:8" x14ac:dyDescent="0.25">
      <c r="A34" s="71" t="s">
        <v>69</v>
      </c>
      <c r="B34" s="74">
        <v>136564</v>
      </c>
      <c r="D34" s="146" t="s">
        <v>69</v>
      </c>
      <c r="E34" s="147">
        <v>217256</v>
      </c>
      <c r="F34" s="148">
        <f t="shared" si="2"/>
        <v>-80692</v>
      </c>
      <c r="G34" s="151">
        <f t="shared" si="1"/>
        <v>-45546517.224573188</v>
      </c>
      <c r="H34" s="151"/>
    </row>
    <row r="35" spans="1:8" x14ac:dyDescent="0.25">
      <c r="A35" s="71" t="s">
        <v>70</v>
      </c>
      <c r="B35" s="74">
        <v>45</v>
      </c>
      <c r="D35" s="146" t="s">
        <v>70</v>
      </c>
      <c r="E35" s="147">
        <v>144</v>
      </c>
      <c r="F35" s="148">
        <f t="shared" si="2"/>
        <v>-99</v>
      </c>
      <c r="G35" s="151">
        <f t="shared" si="1"/>
        <v>-55880.449180002295</v>
      </c>
      <c r="H35" s="151"/>
    </row>
    <row r="36" spans="1:8" x14ac:dyDescent="0.25">
      <c r="A36" s="71" t="s">
        <v>71</v>
      </c>
      <c r="B36" s="74">
        <v>264761</v>
      </c>
      <c r="D36" s="146" t="s">
        <v>71</v>
      </c>
      <c r="E36" s="147">
        <v>303760</v>
      </c>
      <c r="F36" s="148">
        <f t="shared" si="2"/>
        <v>-38999</v>
      </c>
      <c r="G36" s="151">
        <f t="shared" si="1"/>
        <v>-22012945.834049594</v>
      </c>
      <c r="H36" s="151"/>
    </row>
    <row r="37" spans="1:8" x14ac:dyDescent="0.25">
      <c r="A37" s="71"/>
      <c r="B37" s="74"/>
      <c r="D37" s="146" t="s">
        <v>220</v>
      </c>
      <c r="E37" s="147">
        <v>5859</v>
      </c>
      <c r="F37" s="148">
        <f t="shared" si="2"/>
        <v>-5859</v>
      </c>
      <c r="G37" s="151">
        <f t="shared" si="1"/>
        <v>-3307106.583289227</v>
      </c>
      <c r="H37" s="151"/>
    </row>
    <row r="38" spans="1:8" x14ac:dyDescent="0.25">
      <c r="A38" s="71" t="s">
        <v>72</v>
      </c>
      <c r="B38" s="74">
        <v>1640</v>
      </c>
      <c r="D38" s="146" t="s">
        <v>72</v>
      </c>
      <c r="E38" s="147">
        <v>400</v>
      </c>
      <c r="F38" s="148">
        <f t="shared" si="2"/>
        <v>1240</v>
      </c>
      <c r="G38" s="151">
        <f t="shared" si="1"/>
        <v>1119844</v>
      </c>
      <c r="H38" s="151"/>
    </row>
    <row r="39" spans="1:8" x14ac:dyDescent="0.25">
      <c r="A39" s="71" t="s">
        <v>73</v>
      </c>
      <c r="B39" s="74">
        <v>6200</v>
      </c>
      <c r="D39" s="146" t="s">
        <v>73</v>
      </c>
      <c r="E39" s="147">
        <v>2800</v>
      </c>
      <c r="F39" s="148">
        <f t="shared" si="2"/>
        <v>3400</v>
      </c>
      <c r="G39" s="151">
        <f t="shared" si="1"/>
        <v>3070540</v>
      </c>
      <c r="H39" s="151"/>
    </row>
    <row r="40" spans="1:8" x14ac:dyDescent="0.25">
      <c r="A40" s="71" t="s">
        <v>74</v>
      </c>
      <c r="B40" s="74">
        <v>95133</v>
      </c>
      <c r="D40" s="146" t="s">
        <v>74</v>
      </c>
      <c r="E40" s="147">
        <v>118605</v>
      </c>
      <c r="F40" s="148">
        <f t="shared" si="2"/>
        <v>-23472</v>
      </c>
      <c r="G40" s="151">
        <f t="shared" si="1"/>
        <v>-13248746.49649509</v>
      </c>
      <c r="H40" s="151"/>
    </row>
    <row r="41" spans="1:8" x14ac:dyDescent="0.25">
      <c r="A41" s="71" t="s">
        <v>75</v>
      </c>
      <c r="B41" s="74">
        <v>57264</v>
      </c>
      <c r="D41" s="146" t="s">
        <v>75</v>
      </c>
      <c r="E41" s="147">
        <v>76096</v>
      </c>
      <c r="F41" s="148">
        <f t="shared" si="2"/>
        <v>-18832</v>
      </c>
      <c r="G41" s="151">
        <f t="shared" si="1"/>
        <v>-10629703.221795993</v>
      </c>
      <c r="H41" s="151"/>
    </row>
    <row r="42" spans="1:8" x14ac:dyDescent="0.25">
      <c r="A42" s="71" t="s">
        <v>76</v>
      </c>
      <c r="B42" s="74">
        <v>16707</v>
      </c>
      <c r="D42" s="146" t="s">
        <v>76</v>
      </c>
      <c r="E42" s="147">
        <v>230038</v>
      </c>
      <c r="F42" s="148">
        <f t="shared" si="2"/>
        <v>-213331</v>
      </c>
      <c r="G42" s="151">
        <f t="shared" si="1"/>
        <v>-120414465.69716233</v>
      </c>
      <c r="H42" s="151"/>
    </row>
    <row r="43" spans="1:8" x14ac:dyDescent="0.25">
      <c r="A43" s="71" t="s">
        <v>225</v>
      </c>
      <c r="B43" s="74">
        <v>0</v>
      </c>
      <c r="D43" s="146"/>
      <c r="E43" s="147"/>
      <c r="F43" s="148">
        <f t="shared" si="2"/>
        <v>0</v>
      </c>
      <c r="G43" s="151">
        <f t="shared" si="1"/>
        <v>0</v>
      </c>
      <c r="H43" s="151"/>
    </row>
    <row r="44" spans="1:8" x14ac:dyDescent="0.25">
      <c r="A44" s="71" t="s">
        <v>77</v>
      </c>
      <c r="B44" s="74">
        <v>39424</v>
      </c>
      <c r="D44" s="146" t="s">
        <v>77</v>
      </c>
      <c r="E44" s="147">
        <v>232936</v>
      </c>
      <c r="F44" s="148">
        <f t="shared" si="2"/>
        <v>-193512</v>
      </c>
      <c r="G44" s="151">
        <f t="shared" si="1"/>
        <v>-109227651.33051115</v>
      </c>
      <c r="H44" s="151"/>
    </row>
    <row r="45" spans="1:8" x14ac:dyDescent="0.25">
      <c r="A45" s="71" t="s">
        <v>78</v>
      </c>
      <c r="B45" s="74">
        <v>17458</v>
      </c>
      <c r="D45" s="146" t="s">
        <v>78</v>
      </c>
      <c r="E45" s="147">
        <v>10440</v>
      </c>
      <c r="F45" s="148">
        <f t="shared" si="2"/>
        <v>7018</v>
      </c>
      <c r="G45" s="151">
        <f t="shared" si="1"/>
        <v>6337955.7999999998</v>
      </c>
      <c r="H45" s="151"/>
    </row>
    <row r="46" spans="1:8" x14ac:dyDescent="0.25">
      <c r="A46" s="71" t="s">
        <v>79</v>
      </c>
      <c r="B46" s="74">
        <v>3250</v>
      </c>
      <c r="D46" s="146" t="s">
        <v>79</v>
      </c>
      <c r="E46" s="147">
        <v>4010</v>
      </c>
      <c r="F46" s="148">
        <f t="shared" si="2"/>
        <v>-760</v>
      </c>
      <c r="G46" s="151">
        <f t="shared" si="1"/>
        <v>-428981.22602830047</v>
      </c>
      <c r="H46" s="151"/>
    </row>
    <row r="47" spans="1:8" x14ac:dyDescent="0.25">
      <c r="A47" s="71" t="s">
        <v>80</v>
      </c>
      <c r="B47" s="74">
        <v>127180</v>
      </c>
      <c r="C47" s="74"/>
      <c r="D47" s="146" t="s">
        <v>80</v>
      </c>
      <c r="E47" s="147">
        <v>85600</v>
      </c>
      <c r="F47" s="148">
        <f t="shared" si="2"/>
        <v>41580</v>
      </c>
      <c r="G47" s="151">
        <f t="shared" si="1"/>
        <v>37550898</v>
      </c>
      <c r="H47" s="151"/>
    </row>
    <row r="48" spans="1:8" x14ac:dyDescent="0.25">
      <c r="A48" s="71" t="s">
        <v>81</v>
      </c>
      <c r="B48" s="74">
        <v>31567</v>
      </c>
      <c r="C48" s="74"/>
      <c r="D48" s="146" t="s">
        <v>81</v>
      </c>
      <c r="E48" s="147">
        <v>5997</v>
      </c>
      <c r="F48" s="148">
        <f t="shared" si="2"/>
        <v>25570</v>
      </c>
      <c r="G48" s="151">
        <f t="shared" si="1"/>
        <v>23092267</v>
      </c>
      <c r="H48" s="151"/>
    </row>
    <row r="49" spans="1:8" x14ac:dyDescent="0.25">
      <c r="A49" s="71" t="s">
        <v>82</v>
      </c>
      <c r="B49" s="74">
        <v>37126</v>
      </c>
      <c r="D49" s="146" t="s">
        <v>82</v>
      </c>
      <c r="E49" s="147">
        <v>123423</v>
      </c>
      <c r="F49" s="148">
        <f t="shared" si="2"/>
        <v>-86297</v>
      </c>
      <c r="G49" s="151">
        <f t="shared" si="1"/>
        <v>-48710253.7665319</v>
      </c>
      <c r="H49" s="151"/>
    </row>
    <row r="50" spans="1:8" x14ac:dyDescent="0.25">
      <c r="A50" s="71" t="s">
        <v>83</v>
      </c>
      <c r="B50" s="74">
        <v>29939</v>
      </c>
      <c r="D50" s="146" t="s">
        <v>83</v>
      </c>
      <c r="E50" s="147">
        <v>128301</v>
      </c>
      <c r="F50" s="148">
        <f t="shared" si="2"/>
        <v>-98362</v>
      </c>
      <c r="G50" s="151">
        <f t="shared" si="1"/>
        <v>-55520330.729731172</v>
      </c>
      <c r="H50" s="151"/>
    </row>
    <row r="51" spans="1:8" x14ac:dyDescent="0.25">
      <c r="A51" s="149" t="s">
        <v>221</v>
      </c>
      <c r="B51" s="150">
        <v>43</v>
      </c>
      <c r="D51" s="146" t="s">
        <v>221</v>
      </c>
      <c r="E51" s="147">
        <v>1520</v>
      </c>
      <c r="F51" s="148">
        <f t="shared" si="2"/>
        <v>-1477</v>
      </c>
      <c r="G51" s="151">
        <f t="shared" si="1"/>
        <v>-833691.14584710496</v>
      </c>
      <c r="H51" s="151"/>
    </row>
    <row r="52" spans="1:8" x14ac:dyDescent="0.25">
      <c r="A52" s="71" t="s">
        <v>85</v>
      </c>
      <c r="B52" s="74">
        <v>492</v>
      </c>
      <c r="D52" s="146" t="s">
        <v>85</v>
      </c>
      <c r="E52" s="147">
        <v>11972</v>
      </c>
      <c r="F52" s="148">
        <f t="shared" si="2"/>
        <v>-11480</v>
      </c>
      <c r="G52" s="151">
        <f t="shared" si="1"/>
        <v>-6479874.3089538021</v>
      </c>
      <c r="H52" s="151"/>
    </row>
    <row r="53" spans="1:8" x14ac:dyDescent="0.25">
      <c r="A53" s="71" t="s">
        <v>86</v>
      </c>
      <c r="B53" s="74">
        <v>49798</v>
      </c>
      <c r="D53" s="146" t="s">
        <v>86</v>
      </c>
      <c r="E53" s="147">
        <v>14307</v>
      </c>
      <c r="F53" s="148">
        <f t="shared" si="2"/>
        <v>35491</v>
      </c>
      <c r="G53" s="151">
        <f t="shared" si="1"/>
        <v>32051922.100000001</v>
      </c>
      <c r="H53" s="151"/>
    </row>
    <row r="54" spans="1:8" x14ac:dyDescent="0.25">
      <c r="A54" s="71" t="s">
        <v>87</v>
      </c>
      <c r="B54" s="74">
        <v>321879</v>
      </c>
      <c r="D54" s="146" t="s">
        <v>87</v>
      </c>
      <c r="E54" s="147">
        <v>476337</v>
      </c>
      <c r="F54" s="148">
        <f t="shared" si="2"/>
        <v>-154458</v>
      </c>
      <c r="G54" s="151">
        <f t="shared" si="1"/>
        <v>-87183660.802472681</v>
      </c>
      <c r="H54" s="151"/>
    </row>
    <row r="55" spans="1:8" x14ac:dyDescent="0.25">
      <c r="A55" s="71" t="s">
        <v>88</v>
      </c>
      <c r="B55" s="74">
        <v>623</v>
      </c>
      <c r="D55" s="146" t="s">
        <v>88</v>
      </c>
      <c r="E55" s="147">
        <v>20718</v>
      </c>
      <c r="F55" s="148">
        <f t="shared" si="2"/>
        <v>-20095</v>
      </c>
      <c r="G55" s="151">
        <f t="shared" si="1"/>
        <v>-11342602.285577234</v>
      </c>
      <c r="H55" s="151"/>
    </row>
    <row r="56" spans="1:8" x14ac:dyDescent="0.25">
      <c r="A56" s="71" t="s">
        <v>89</v>
      </c>
      <c r="B56" s="74">
        <v>1400</v>
      </c>
      <c r="D56" s="146" t="s">
        <v>89</v>
      </c>
      <c r="E56" s="147">
        <v>591029</v>
      </c>
      <c r="F56" s="148">
        <f t="shared" si="2"/>
        <v>-589629</v>
      </c>
      <c r="G56" s="151">
        <f t="shared" si="1"/>
        <v>-332815488.58136946</v>
      </c>
      <c r="H56" s="151"/>
    </row>
    <row r="57" spans="1:8" x14ac:dyDescent="0.25">
      <c r="A57" s="71" t="s">
        <v>90</v>
      </c>
      <c r="B57" s="74">
        <v>8</v>
      </c>
      <c r="D57" s="146" t="s">
        <v>90</v>
      </c>
      <c r="E57" s="147">
        <v>4</v>
      </c>
      <c r="F57" s="148">
        <f t="shared" si="2"/>
        <v>4</v>
      </c>
      <c r="G57" s="151">
        <f t="shared" si="1"/>
        <v>3612.4</v>
      </c>
      <c r="H57" s="151"/>
    </row>
    <row r="58" spans="1:8" x14ac:dyDescent="0.25">
      <c r="A58" s="71" t="s">
        <v>91</v>
      </c>
      <c r="B58" s="74">
        <v>7293</v>
      </c>
      <c r="D58" s="146" t="s">
        <v>91</v>
      </c>
      <c r="E58" s="147">
        <v>13957</v>
      </c>
      <c r="F58" s="148">
        <f t="shared" si="2"/>
        <v>-6664</v>
      </c>
      <c r="G58" s="151">
        <f t="shared" si="1"/>
        <v>-3761488.0134902555</v>
      </c>
      <c r="H58" s="151"/>
    </row>
    <row r="59" spans="1:8" x14ac:dyDescent="0.25">
      <c r="A59" s="71" t="s">
        <v>222</v>
      </c>
      <c r="B59" s="74">
        <v>140300</v>
      </c>
      <c r="D59" s="146"/>
      <c r="E59" s="147"/>
      <c r="F59" s="148">
        <f t="shared" si="2"/>
        <v>140300</v>
      </c>
      <c r="G59" s="151">
        <f t="shared" si="1"/>
        <v>126704930</v>
      </c>
      <c r="H59" s="151"/>
    </row>
    <row r="60" spans="1:8" x14ac:dyDescent="0.25">
      <c r="A60" s="71" t="s">
        <v>92</v>
      </c>
      <c r="B60" s="74">
        <v>79578</v>
      </c>
      <c r="D60" s="146" t="s">
        <v>92</v>
      </c>
      <c r="E60" s="147">
        <v>8928</v>
      </c>
      <c r="F60" s="148">
        <f t="shared" si="2"/>
        <v>70650</v>
      </c>
      <c r="G60" s="151">
        <f t="shared" si="1"/>
        <v>63804015</v>
      </c>
      <c r="H60" s="151"/>
    </row>
    <row r="61" spans="1:8" x14ac:dyDescent="0.25">
      <c r="A61" s="71" t="s">
        <v>93</v>
      </c>
      <c r="B61" s="74">
        <v>1034365</v>
      </c>
      <c r="D61" s="146" t="s">
        <v>93</v>
      </c>
      <c r="E61" s="147">
        <v>91525</v>
      </c>
      <c r="F61" s="148">
        <f t="shared" si="2"/>
        <v>942840</v>
      </c>
      <c r="G61" s="151">
        <f t="shared" si="1"/>
        <v>851478804</v>
      </c>
      <c r="H61" s="151"/>
    </row>
    <row r="62" spans="1:8" x14ac:dyDescent="0.25">
      <c r="A62" s="71" t="s">
        <v>94</v>
      </c>
      <c r="B62" s="74">
        <v>10640</v>
      </c>
      <c r="D62" s="146" t="s">
        <v>94</v>
      </c>
      <c r="E62" s="147">
        <v>2267</v>
      </c>
      <c r="F62" s="148">
        <f t="shared" si="2"/>
        <v>8373</v>
      </c>
      <c r="G62" s="151">
        <f t="shared" si="1"/>
        <v>7561656.2999999998</v>
      </c>
      <c r="H62" s="151"/>
    </row>
    <row r="63" spans="1:8" x14ac:dyDescent="0.25">
      <c r="A63" s="71" t="s">
        <v>95</v>
      </c>
      <c r="B63" s="74">
        <v>125421</v>
      </c>
      <c r="D63" s="146" t="s">
        <v>95</v>
      </c>
      <c r="E63" s="147">
        <v>268795</v>
      </c>
      <c r="F63" s="148">
        <f t="shared" si="2"/>
        <v>-143374</v>
      </c>
      <c r="G63" s="151">
        <f t="shared" si="1"/>
        <v>-80927308.290238887</v>
      </c>
      <c r="H63" s="151"/>
    </row>
    <row r="64" spans="1:8" x14ac:dyDescent="0.25">
      <c r="A64" s="71" t="s">
        <v>96</v>
      </c>
      <c r="B64" s="74">
        <v>2090</v>
      </c>
      <c r="D64" s="146" t="s">
        <v>96</v>
      </c>
      <c r="E64" s="147">
        <v>44746</v>
      </c>
      <c r="F64" s="148">
        <f t="shared" si="2"/>
        <v>-42656</v>
      </c>
      <c r="G64" s="151">
        <f t="shared" si="1"/>
        <v>-24077135.759819981</v>
      </c>
      <c r="H64" s="151"/>
    </row>
    <row r="65" spans="1:9" x14ac:dyDescent="0.25">
      <c r="D65" s="146" t="s">
        <v>223</v>
      </c>
      <c r="E65" s="147">
        <v>1200</v>
      </c>
      <c r="F65" s="148">
        <f t="shared" si="2"/>
        <v>-1200</v>
      </c>
      <c r="G65" s="151">
        <f t="shared" si="1"/>
        <v>-677338.77793942182</v>
      </c>
      <c r="H65" s="151"/>
    </row>
    <row r="66" spans="1:9" x14ac:dyDescent="0.25">
      <c r="E66" s="148"/>
    </row>
    <row r="67" spans="1:9" x14ac:dyDescent="0.25">
      <c r="B67" s="148">
        <f>SUM(B5:B64)</f>
        <v>5282785</v>
      </c>
      <c r="C67" s="148"/>
      <c r="D67" s="148"/>
      <c r="E67" s="148">
        <f t="shared" ref="E67:F67" si="3">SUM(E5:E64)</f>
        <v>5633201</v>
      </c>
      <c r="F67" s="148">
        <f t="shared" si="3"/>
        <v>-350416</v>
      </c>
      <c r="G67" s="154">
        <f>SUM(G5:G65)/2000</f>
        <v>291256.90039252222</v>
      </c>
      <c r="H67" s="154"/>
      <c r="I67" t="s">
        <v>229</v>
      </c>
    </row>
    <row r="68" spans="1:9" x14ac:dyDescent="0.25">
      <c r="A68" t="s">
        <v>231</v>
      </c>
    </row>
    <row r="69" spans="1:9" x14ac:dyDescent="0.25">
      <c r="H69" s="154"/>
    </row>
    <row r="70" spans="1:9" x14ac:dyDescent="0.25">
      <c r="E70" s="148"/>
    </row>
  </sheetData>
  <mergeCells count="1">
    <mergeCell ref="D2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B3CA2475AFAC419EA0276E0C564496" ma:contentTypeVersion="68" ma:contentTypeDescription="" ma:contentTypeScope="" ma:versionID="0f35b79e36994dd98b90cd04436234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Date1 xmlns="dc463f71-b30c-4ab2-9473-d307f9d35888">2018-05-31T07:00:00+00:00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180480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838075-1803-4020-BF5C-1DA03C23E02D}"/>
</file>

<file path=customXml/itemProps2.xml><?xml version="1.0" encoding="utf-8"?>
<ds:datastoreItem xmlns:ds="http://schemas.openxmlformats.org/officeDocument/2006/customXml" ds:itemID="{57BE1F28-303A-4833-8A05-0A33588D1988}">
  <ds:schemaRefs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c463f71-b30c-4ab2-9473-d307f9d3588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396D2F-3B53-4C7A-AEFF-74AD928C8780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dcterms:created xsi:type="dcterms:W3CDTF">2016-02-08T23:38:12Z</dcterms:created>
  <dcterms:modified xsi:type="dcterms:W3CDTF">2018-05-30T16:24:50Z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0x0101006E56B4D1795A2E4DB2F0B01679ED314A00D7B3CA2475AFAC419EA0276E0C564496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