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omments1.xml" ContentType="application/vnd.openxmlformats-officedocument.spreadsheetml.comments+xml"/>
  <Override PartName="/xl/externalLinks/externalLink2.xml" ContentType="application/vnd.openxmlformats-officedocument.spreadsheetml.externalLink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Week ending May 20\Friday\"/>
    </mc:Choice>
  </mc:AlternateContent>
  <bookViews>
    <workbookView xWindow="0" yWindow="0" windowWidth="24000" windowHeight="8235" activeTab="2"/>
  </bookViews>
  <sheets>
    <sheet name="Core Cost Incurred" sheetId="12" r:id="rId1"/>
    <sheet name="WA Rates" sheetId="8" r:id="rId2"/>
    <sheet name="WA Deferrals" sheetId="5" r:id="rId3"/>
  </sheets>
  <externalReferences>
    <externalReference r:id="rId4"/>
    <externalReference r:id="rId5"/>
  </externalReferences>
  <definedNames>
    <definedName name="_xlnm.Print_Area" localSheetId="0">'Core Cost Incurred'!$A$1:$Y$48</definedName>
    <definedName name="_xlnm.Print_Area" localSheetId="2">'WA Deferrals'!$A$1:$H$25</definedName>
    <definedName name="_xlnm.Print_Area" localSheetId="1">'WA Rates'!$A$1:$M$52</definedName>
    <definedName name="_xlnm.Print_Titles" localSheetId="0">'Core Cost Incurred'!$A:$E</definedName>
    <definedName name="_xlnm.Print_Titles" localSheetId="1">'WA Rates'!$1:$8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5" l="1"/>
  <c r="V48" i="12"/>
  <c r="AB43" i="12"/>
  <c r="AA43" i="12"/>
  <c r="Y43" i="12"/>
  <c r="V43" i="12"/>
  <c r="AB42" i="12"/>
  <c r="AB44" i="12" s="1"/>
  <c r="AA42" i="12"/>
  <c r="AA44" i="12" s="1"/>
  <c r="Y42" i="12"/>
  <c r="Y44" i="12" s="1"/>
  <c r="V42" i="12"/>
  <c r="V44" i="12" s="1"/>
  <c r="P47" i="12" s="1"/>
  <c r="AB38" i="12"/>
  <c r="AB40" i="12" s="1"/>
  <c r="AA38" i="12"/>
  <c r="AA40" i="12" s="1"/>
  <c r="Y38" i="12"/>
  <c r="Y40" i="12" s="1"/>
  <c r="V38" i="12"/>
  <c r="V40" i="12" s="1"/>
  <c r="S38" i="12"/>
  <c r="P38" i="12"/>
  <c r="M37" i="12"/>
  <c r="G37" i="12" s="1"/>
  <c r="J37" i="12"/>
  <c r="M36" i="12"/>
  <c r="J36" i="12"/>
  <c r="G36" i="12" s="1"/>
  <c r="M35" i="12"/>
  <c r="J35" i="12"/>
  <c r="G35" i="12" s="1"/>
  <c r="M34" i="12"/>
  <c r="J34" i="12"/>
  <c r="G34" i="12"/>
  <c r="M33" i="12"/>
  <c r="G33" i="12" s="1"/>
  <c r="J33" i="12"/>
  <c r="M32" i="12"/>
  <c r="J32" i="12"/>
  <c r="G32" i="12" s="1"/>
  <c r="M31" i="12"/>
  <c r="J31" i="12"/>
  <c r="G31" i="12" s="1"/>
  <c r="M30" i="12"/>
  <c r="J30" i="12"/>
  <c r="G30" i="12"/>
  <c r="M29" i="12"/>
  <c r="G29" i="12" s="1"/>
  <c r="J29" i="12"/>
  <c r="M28" i="12"/>
  <c r="J28" i="12"/>
  <c r="G28" i="12" s="1"/>
  <c r="M27" i="12"/>
  <c r="J27" i="12"/>
  <c r="G27" i="12" s="1"/>
  <c r="M26" i="12"/>
  <c r="J26" i="12"/>
  <c r="G26" i="12"/>
  <c r="M25" i="12"/>
  <c r="G25" i="12" s="1"/>
  <c r="J25" i="12"/>
  <c r="M24" i="12"/>
  <c r="M38" i="12" s="1"/>
  <c r="J24" i="12"/>
  <c r="J38" i="12" s="1"/>
  <c r="AB22" i="12"/>
  <c r="AA22" i="12"/>
  <c r="Y22" i="12"/>
  <c r="V22" i="12"/>
  <c r="S21" i="12"/>
  <c r="M21" i="12" s="1"/>
  <c r="P21" i="12"/>
  <c r="J21" i="12" s="1"/>
  <c r="M20" i="12"/>
  <c r="J20" i="12"/>
  <c r="G20" i="12" s="1"/>
  <c r="M19" i="12"/>
  <c r="J19" i="12"/>
  <c r="G19" i="12" s="1"/>
  <c r="M18" i="12"/>
  <c r="J18" i="12"/>
  <c r="G18" i="12" s="1"/>
  <c r="S17" i="12"/>
  <c r="S22" i="12" s="1"/>
  <c r="P17" i="12"/>
  <c r="P22" i="12" s="1"/>
  <c r="M17" i="12"/>
  <c r="J17" i="12"/>
  <c r="AB15" i="12"/>
  <c r="AA15" i="12"/>
  <c r="Y15" i="12"/>
  <c r="X15" i="12"/>
  <c r="X40" i="12" s="1"/>
  <c r="V15" i="12"/>
  <c r="U15" i="12"/>
  <c r="U40" i="12" s="1"/>
  <c r="M14" i="12"/>
  <c r="L14" i="12"/>
  <c r="J14" i="12"/>
  <c r="G14" i="12" s="1"/>
  <c r="I14" i="12"/>
  <c r="F14" i="12"/>
  <c r="M13" i="12"/>
  <c r="L13" i="12"/>
  <c r="J13" i="12"/>
  <c r="I13" i="12"/>
  <c r="F13" i="12" s="1"/>
  <c r="G13" i="12"/>
  <c r="M12" i="12"/>
  <c r="L12" i="12"/>
  <c r="J12" i="12"/>
  <c r="G12" i="12" s="1"/>
  <c r="I12" i="12"/>
  <c r="F12" i="12"/>
  <c r="M11" i="12"/>
  <c r="L11" i="12"/>
  <c r="J11" i="12"/>
  <c r="I11" i="12"/>
  <c r="F11" i="12" s="1"/>
  <c r="G11" i="12"/>
  <c r="S10" i="12"/>
  <c r="S42" i="12" s="1"/>
  <c r="R10" i="12"/>
  <c r="R15" i="12" s="1"/>
  <c r="R40" i="12" s="1"/>
  <c r="P10" i="12"/>
  <c r="P15" i="12" s="1"/>
  <c r="O10" i="12"/>
  <c r="O15" i="12" s="1"/>
  <c r="O40" i="12" s="1"/>
  <c r="M10" i="12"/>
  <c r="L10" i="12"/>
  <c r="J10" i="12"/>
  <c r="I10" i="12"/>
  <c r="G10" i="12"/>
  <c r="F10" i="12"/>
  <c r="M9" i="12"/>
  <c r="J9" i="12"/>
  <c r="G9" i="12"/>
  <c r="M8" i="12"/>
  <c r="M42" i="12" s="1"/>
  <c r="L8" i="12"/>
  <c r="L15" i="12" s="1"/>
  <c r="L40" i="12" s="1"/>
  <c r="J8" i="12"/>
  <c r="J42" i="12" s="1"/>
  <c r="J44" i="12" s="1"/>
  <c r="I8" i="12"/>
  <c r="I15" i="12" s="1"/>
  <c r="I40" i="12" s="1"/>
  <c r="G8" i="12"/>
  <c r="M7" i="12"/>
  <c r="J7" i="12"/>
  <c r="G7" i="12"/>
  <c r="M6" i="12"/>
  <c r="M15" i="12" s="1"/>
  <c r="J6" i="12"/>
  <c r="J43" i="12" s="1"/>
  <c r="G6" i="12"/>
  <c r="G15" i="12" s="1"/>
  <c r="V3" i="12"/>
  <c r="V1" i="12"/>
  <c r="I46" i="8"/>
  <c r="H46" i="8"/>
  <c r="G46" i="8"/>
  <c r="F46" i="8"/>
  <c r="F48" i="8" s="1"/>
  <c r="F50" i="8" s="1"/>
  <c r="F73" i="8" s="1"/>
  <c r="K44" i="8"/>
  <c r="J44" i="8"/>
  <c r="M44" i="8" s="1"/>
  <c r="I44" i="8"/>
  <c r="L44" i="8" s="1"/>
  <c r="H44" i="8"/>
  <c r="G44" i="8"/>
  <c r="J43" i="8"/>
  <c r="I43" i="8"/>
  <c r="L43" i="8" s="1"/>
  <c r="H43" i="8"/>
  <c r="K43" i="8" s="1"/>
  <c r="G43" i="8"/>
  <c r="L42" i="8"/>
  <c r="I42" i="8"/>
  <c r="H42" i="8"/>
  <c r="K42" i="8" s="1"/>
  <c r="G42" i="8"/>
  <c r="J42" i="8" s="1"/>
  <c r="L41" i="8"/>
  <c r="K41" i="8"/>
  <c r="I41" i="8"/>
  <c r="H41" i="8"/>
  <c r="G41" i="8"/>
  <c r="J41" i="8" s="1"/>
  <c r="M41" i="8" s="1"/>
  <c r="K40" i="8"/>
  <c r="J40" i="8"/>
  <c r="M40" i="8" s="1"/>
  <c r="I40" i="8"/>
  <c r="L40" i="8" s="1"/>
  <c r="H40" i="8"/>
  <c r="G40" i="8"/>
  <c r="J39" i="8"/>
  <c r="I39" i="8"/>
  <c r="L39" i="8" s="1"/>
  <c r="H39" i="8"/>
  <c r="K39" i="8" s="1"/>
  <c r="M39" i="8" s="1"/>
  <c r="G39" i="8"/>
  <c r="L37" i="8"/>
  <c r="I37" i="8"/>
  <c r="H37" i="8"/>
  <c r="K37" i="8" s="1"/>
  <c r="G37" i="8"/>
  <c r="J37" i="8" s="1"/>
  <c r="L36" i="8"/>
  <c r="K36" i="8"/>
  <c r="I36" i="8"/>
  <c r="H36" i="8"/>
  <c r="G36" i="8"/>
  <c r="J36" i="8" s="1"/>
  <c r="M36" i="8" s="1"/>
  <c r="K35" i="8"/>
  <c r="J35" i="8"/>
  <c r="M35" i="8" s="1"/>
  <c r="I35" i="8"/>
  <c r="L35" i="8" s="1"/>
  <c r="G35" i="8"/>
  <c r="L33" i="8"/>
  <c r="I33" i="8"/>
  <c r="H33" i="8"/>
  <c r="K33" i="8" s="1"/>
  <c r="G33" i="8"/>
  <c r="J33" i="8" s="1"/>
  <c r="M33" i="8" s="1"/>
  <c r="L32" i="8"/>
  <c r="K32" i="8"/>
  <c r="I32" i="8"/>
  <c r="H32" i="8"/>
  <c r="G32" i="8"/>
  <c r="J32" i="8" s="1"/>
  <c r="M32" i="8" s="1"/>
  <c r="K31" i="8"/>
  <c r="J31" i="8"/>
  <c r="I31" i="8"/>
  <c r="L31" i="8" s="1"/>
  <c r="H31" i="8"/>
  <c r="G31" i="8"/>
  <c r="J29" i="8"/>
  <c r="I29" i="8"/>
  <c r="L29" i="8" s="1"/>
  <c r="H29" i="8"/>
  <c r="K29" i="8" s="1"/>
  <c r="G29" i="8"/>
  <c r="L28" i="8"/>
  <c r="I28" i="8"/>
  <c r="H28" i="8"/>
  <c r="K28" i="8" s="1"/>
  <c r="G28" i="8"/>
  <c r="J28" i="8" s="1"/>
  <c r="M28" i="8" s="1"/>
  <c r="L27" i="8"/>
  <c r="K27" i="8"/>
  <c r="I27" i="8"/>
  <c r="H27" i="8"/>
  <c r="G27" i="8"/>
  <c r="J27" i="8" s="1"/>
  <c r="M27" i="8" s="1"/>
  <c r="K25" i="8"/>
  <c r="J25" i="8"/>
  <c r="I25" i="8"/>
  <c r="L25" i="8" s="1"/>
  <c r="H25" i="8"/>
  <c r="G25" i="8"/>
  <c r="J24" i="8"/>
  <c r="I24" i="8"/>
  <c r="L24" i="8" s="1"/>
  <c r="H24" i="8"/>
  <c r="K24" i="8" s="1"/>
  <c r="G24" i="8"/>
  <c r="L23" i="8"/>
  <c r="I23" i="8"/>
  <c r="H23" i="8"/>
  <c r="K23" i="8" s="1"/>
  <c r="G23" i="8"/>
  <c r="J23" i="8" s="1"/>
  <c r="M23" i="8" s="1"/>
  <c r="L22" i="8"/>
  <c r="K22" i="8"/>
  <c r="I22" i="8"/>
  <c r="H22" i="8"/>
  <c r="G22" i="8"/>
  <c r="J22" i="8" s="1"/>
  <c r="M22" i="8" s="1"/>
  <c r="K21" i="8"/>
  <c r="J21" i="8"/>
  <c r="I21" i="8"/>
  <c r="L21" i="8" s="1"/>
  <c r="H21" i="8"/>
  <c r="G21" i="8"/>
  <c r="K20" i="8"/>
  <c r="J20" i="8"/>
  <c r="I20" i="8"/>
  <c r="L20" i="8" s="1"/>
  <c r="M20" i="8" s="1"/>
  <c r="G20" i="8"/>
  <c r="K18" i="8"/>
  <c r="J18" i="8"/>
  <c r="M18" i="8" s="1"/>
  <c r="H18" i="8"/>
  <c r="G18" i="8"/>
  <c r="K17" i="8"/>
  <c r="H17" i="8"/>
  <c r="G17" i="8"/>
  <c r="J17" i="8" s="1"/>
  <c r="M17" i="8" s="1"/>
  <c r="J16" i="8"/>
  <c r="I16" i="8"/>
  <c r="L16" i="8" s="1"/>
  <c r="H16" i="8"/>
  <c r="K16" i="8" s="1"/>
  <c r="M16" i="8" s="1"/>
  <c r="G16" i="8"/>
  <c r="L15" i="8"/>
  <c r="I15" i="8"/>
  <c r="H15" i="8"/>
  <c r="K15" i="8" s="1"/>
  <c r="G15" i="8"/>
  <c r="J15" i="8" s="1"/>
  <c r="K13" i="8"/>
  <c r="J13" i="8"/>
  <c r="M13" i="8" s="1"/>
  <c r="H13" i="8"/>
  <c r="G13" i="8"/>
  <c r="K12" i="8"/>
  <c r="H12" i="8"/>
  <c r="G12" i="8"/>
  <c r="J12" i="8" s="1"/>
  <c r="M12" i="8" s="1"/>
  <c r="K11" i="8"/>
  <c r="J11" i="8"/>
  <c r="I11" i="8"/>
  <c r="L11" i="8" s="1"/>
  <c r="M11" i="8" s="1"/>
  <c r="G11" i="8"/>
  <c r="L10" i="8"/>
  <c r="K10" i="8"/>
  <c r="I10" i="8"/>
  <c r="H10" i="8"/>
  <c r="G10" i="8"/>
  <c r="J10" i="8" s="1"/>
  <c r="M10" i="8" s="1"/>
  <c r="L9" i="8"/>
  <c r="K9" i="8"/>
  <c r="J9" i="8"/>
  <c r="H8" i="8"/>
  <c r="I8" i="8" s="1"/>
  <c r="E3" i="8"/>
  <c r="E11" i="5"/>
  <c r="D11" i="5"/>
  <c r="G11" i="5" s="1"/>
  <c r="B2" i="5"/>
  <c r="P61" i="12"/>
  <c r="S61" i="12"/>
  <c r="P60" i="12"/>
  <c r="S59" i="12"/>
  <c r="O61" i="12"/>
  <c r="P59" i="12"/>
  <c r="R61" i="12"/>
  <c r="O60" i="12"/>
  <c r="O59" i="12"/>
  <c r="R59" i="12"/>
  <c r="P62" i="12" l="1"/>
  <c r="S62" i="12"/>
  <c r="M21" i="8"/>
  <c r="M24" i="8"/>
  <c r="M31" i="8"/>
  <c r="M37" i="8"/>
  <c r="M15" i="8"/>
  <c r="M25" i="8"/>
  <c r="M29" i="8"/>
  <c r="M42" i="8"/>
  <c r="J48" i="8"/>
  <c r="M43" i="8"/>
  <c r="M9" i="8"/>
  <c r="G21" i="12"/>
  <c r="Y46" i="12"/>
  <c r="S47" i="12"/>
  <c r="J46" i="8"/>
  <c r="P40" i="12"/>
  <c r="K46" i="8"/>
  <c r="K48" i="8" s="1"/>
  <c r="J22" i="12"/>
  <c r="L46" i="8"/>
  <c r="L48" i="8" s="1"/>
  <c r="M22" i="12"/>
  <c r="M40" i="12" s="1"/>
  <c r="G17" i="12"/>
  <c r="G22" i="12" s="1"/>
  <c r="G24" i="12"/>
  <c r="G38" i="12" s="1"/>
  <c r="G40" i="12" s="1"/>
  <c r="M43" i="12"/>
  <c r="F8" i="12"/>
  <c r="F15" i="12" s="1"/>
  <c r="F40" i="12" s="1"/>
  <c r="S15" i="12"/>
  <c r="S40" i="12" s="1"/>
  <c r="P42" i="12"/>
  <c r="P43" i="12"/>
  <c r="S43" i="12"/>
  <c r="J15" i="12"/>
  <c r="J40" i="12" s="1"/>
  <c r="L50" i="8" l="1"/>
  <c r="F8" i="5"/>
  <c r="F10" i="5" s="1"/>
  <c r="K50" i="8"/>
  <c r="E8" i="5"/>
  <c r="E10" i="5" s="1"/>
  <c r="M44" i="12"/>
  <c r="J46" i="12" s="1"/>
  <c r="D8" i="5"/>
  <c r="J50" i="8"/>
  <c r="P44" i="12"/>
  <c r="P46" i="12" s="1"/>
  <c r="P48" i="12" s="1"/>
  <c r="S44" i="12"/>
  <c r="S46" i="12" s="1"/>
  <c r="S48" i="12" s="1"/>
  <c r="M46" i="8"/>
  <c r="M48" i="8" s="1"/>
  <c r="M50" i="8" l="1"/>
  <c r="O49" i="8"/>
  <c r="D10" i="5"/>
  <c r="G8" i="5"/>
  <c r="G10" i="5" s="1"/>
  <c r="G12" i="5" s="1"/>
  <c r="E12" i="5"/>
  <c r="F15" i="5"/>
  <c r="F21" i="5" s="1"/>
  <c r="F12" i="5"/>
  <c r="D15" i="5" l="1"/>
  <c r="D21" i="5" s="1"/>
  <c r="G21" i="5" s="1"/>
  <c r="D12" i="5"/>
  <c r="E21" i="5"/>
  <c r="E15" i="5"/>
</calcChain>
</file>

<file path=xl/comments1.xml><?xml version="1.0" encoding="utf-8"?>
<comments xmlns="http://schemas.openxmlformats.org/spreadsheetml/2006/main">
  <authors>
    <author>John F</author>
    <author>jfresco</author>
    <author>Jennifer</author>
    <author>sarah.volk</author>
  </authors>
  <commentList>
    <comment ref="J7" authorId="0" shapeId="0">
      <text>
        <r>
          <rPr>
            <b/>
            <sz val="7"/>
            <color indexed="81"/>
            <rFont val="Tahoma"/>
            <family val="2"/>
          </rPr>
          <t>John F:</t>
        </r>
        <r>
          <rPr>
            <sz val="7"/>
            <color indexed="81"/>
            <rFont val="Tahoma"/>
            <family val="2"/>
          </rPr>
          <t xml:space="preserve">
Beginning Sep-06 is being switch as part of the demand gas cost in calc PGA demand deferrals to conform with the PGA filing.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9" authorId="1" shapeId="0">
      <text>
        <r>
          <rPr>
            <b/>
            <sz val="8"/>
            <color indexed="81"/>
            <rFont val="Tahoma"/>
            <family val="2"/>
          </rPr>
          <t>jfresco:</t>
        </r>
        <r>
          <rPr>
            <sz val="8"/>
            <color indexed="81"/>
            <rFont val="Tahoma"/>
            <family val="2"/>
          </rPr>
          <t xml:space="preserve">
Beg Oct-08, this account includes Collateral calls interest/income.
</t>
        </r>
      </text>
    </comment>
    <comment ref="J44" authorId="2" shapeId="0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M44" authorId="2" shapeId="0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P44" authorId="2" shapeId="0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S44" authorId="2" shapeId="0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Y46" authorId="3" shapeId="0">
      <text>
        <r>
          <rPr>
            <b/>
            <sz val="8"/>
            <color indexed="81"/>
            <rFont val="Tahoma"/>
            <family val="2"/>
          </rPr>
          <t>sarah.volk:</t>
        </r>
        <r>
          <rPr>
            <sz val="8"/>
            <color indexed="81"/>
            <rFont val="Tahoma"/>
            <family val="2"/>
          </rPr>
          <t xml:space="preserve">
This number should match the total true up from the True-up column on the Suppler Invoice tab of the Gas Supply Analysis plus any storage true-up for the month.
</t>
        </r>
        <r>
          <rPr>
            <b/>
            <sz val="10"/>
            <color indexed="81"/>
            <rFont val="Tahoma"/>
            <family val="2"/>
          </rPr>
          <t>Q65 -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Tahoma"/>
            <family val="2"/>
          </rPr>
          <t>Prior Month File</t>
        </r>
      </text>
    </comment>
  </commentList>
</comments>
</file>

<file path=xl/comments2.xml><?xml version="1.0" encoding="utf-8"?>
<comments xmlns="http://schemas.openxmlformats.org/spreadsheetml/2006/main">
  <authors>
    <author>Cascade Natural Gas</author>
    <author>Jim Haug</author>
    <author>sarah.volk</author>
  </authors>
  <commentList>
    <comment ref="F9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8/9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502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503
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 RS 511
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11/12</t>
        </r>
      </text>
    </comment>
    <comment ref="F27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F28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</t>
        </r>
      </text>
    </comment>
    <comment ref="F33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F35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1501 - Page12
</t>
        </r>
      </text>
    </comment>
    <comment ref="H35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570
</t>
        </r>
      </text>
    </comment>
    <comment ref="F36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F37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F39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12/13
</t>
        </r>
      </text>
    </comment>
    <comment ref="F40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F41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F42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13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</t>
        </r>
      </text>
    </comment>
    <comment ref="F44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M48" authorId="1" shapeId="0">
      <text>
        <r>
          <rPr>
            <b/>
            <sz val="8"/>
            <color indexed="81"/>
            <rFont val="Tahoma"/>
            <family val="2"/>
          </rPr>
          <t>Jim Haug:</t>
        </r>
        <r>
          <rPr>
            <sz val="8"/>
            <color indexed="81"/>
            <rFont val="Tahoma"/>
            <family val="2"/>
          </rPr>
          <t xml:space="preserve">
Sum of Debits to 670001 (assigned gas cost).</t>
        </r>
      </text>
    </comment>
    <comment ref="L50" authorId="2" shapeId="0">
      <text>
        <r>
          <rPr>
            <b/>
            <sz val="9"/>
            <color indexed="81"/>
            <rFont val="Tahoma"/>
            <family val="2"/>
          </rPr>
          <t>sarah.volk:</t>
        </r>
        <r>
          <rPr>
            <sz val="9"/>
            <color indexed="81"/>
            <rFont val="Tahoma"/>
            <family val="2"/>
          </rPr>
          <t xml:space="preserve">
Used as a comparison to the AMORTWA spreadsheet as a cross check.</t>
        </r>
      </text>
    </comment>
  </commentList>
</comments>
</file>

<file path=xl/sharedStrings.xml><?xml version="1.0" encoding="utf-8"?>
<sst xmlns="http://schemas.openxmlformats.org/spreadsheetml/2006/main" count="479" uniqueCount="210">
  <si>
    <t xml:space="preserve"> Blue - 1501A</t>
  </si>
  <si>
    <t>Red Cells = Actual Billed Therms 1501</t>
  </si>
  <si>
    <t>Green Cells = Unbilled Therms Incl. LV</t>
  </si>
  <si>
    <t>Gas Cost</t>
  </si>
  <si>
    <t>CC&amp;B</t>
  </si>
  <si>
    <t>WACOG at</t>
  </si>
  <si>
    <t>Amortization</t>
  </si>
  <si>
    <t>CL</t>
  </si>
  <si>
    <t>RS</t>
  </si>
  <si>
    <t>Account Number</t>
  </si>
  <si>
    <t>Subledger</t>
  </si>
  <si>
    <t>Subledger Type</t>
  </si>
  <si>
    <t>Amount</t>
  </si>
  <si>
    <t>Units</t>
  </si>
  <si>
    <t>Unit of Measure</t>
  </si>
  <si>
    <t>Posted Code</t>
  </si>
  <si>
    <t>Remark</t>
  </si>
  <si>
    <t>47WA.4002.4800</t>
  </si>
  <si>
    <t>Firm Res - bldg const</t>
  </si>
  <si>
    <t>502</t>
  </si>
  <si>
    <t>CNGWA502</t>
  </si>
  <si>
    <t>Regular cycle</t>
  </si>
  <si>
    <t>47WA.6011.28040</t>
  </si>
  <si>
    <t>GC RECOGNIZED RS 15020</t>
  </si>
  <si>
    <t>Firm Res - air con</t>
  </si>
  <si>
    <t>541</t>
  </si>
  <si>
    <t>CNGWA541</t>
  </si>
  <si>
    <t>GC RECOGNIZED RS 15410</t>
  </si>
  <si>
    <t>Firm Residentials</t>
  </si>
  <si>
    <t>503</t>
  </si>
  <si>
    <t>CNGWA503</t>
  </si>
  <si>
    <t>GC RECOGNIZED RS 15030</t>
  </si>
  <si>
    <t>47WA.4009.4800</t>
  </si>
  <si>
    <t>Reg. accrual</t>
  </si>
  <si>
    <t>47WA.4002.4810</t>
  </si>
  <si>
    <t>Firm Com - bldg const</t>
  </si>
  <si>
    <t>GC RECOGNIZED RS 25020</t>
  </si>
  <si>
    <t>Firm Commercial</t>
  </si>
  <si>
    <t>504</t>
  </si>
  <si>
    <t>CNGWA504</t>
  </si>
  <si>
    <t>GC RECOGNIZED RS 25040</t>
  </si>
  <si>
    <t>47WA.4009.4810</t>
  </si>
  <si>
    <t>Firm Com - Lg Vol</t>
  </si>
  <si>
    <t>511</t>
  </si>
  <si>
    <t>CNGWA511</t>
  </si>
  <si>
    <t>GC RECOGNIZED RS 25110</t>
  </si>
  <si>
    <t>Firm Com - Compressed NG</t>
  </si>
  <si>
    <t>512</t>
  </si>
  <si>
    <t>CNGWA512</t>
  </si>
  <si>
    <t>GC RECOGNIZED RS 25120</t>
  </si>
  <si>
    <t>Firm Com - air con</t>
  </si>
  <si>
    <t>GC RECOGNIZED RS 25410</t>
  </si>
  <si>
    <t>CNGWA11LV</t>
  </si>
  <si>
    <t xml:space="preserve">PM Unbilled </t>
  </si>
  <si>
    <t xml:space="preserve">CM Unbilled </t>
  </si>
  <si>
    <t>47WA.4002.4809</t>
  </si>
  <si>
    <t>Firm Ind'l</t>
  </si>
  <si>
    <t>505</t>
  </si>
  <si>
    <t>CNGWA505</t>
  </si>
  <si>
    <t>GC RECOGNIZED RS 35050</t>
  </si>
  <si>
    <t>Firm Industrial</t>
  </si>
  <si>
    <t>GC RECOGNIZED RS 35110</t>
  </si>
  <si>
    <t>Firm Ind'l - compressed NG</t>
  </si>
  <si>
    <t>GC RECOGNIZED RS 35120</t>
  </si>
  <si>
    <t>Firm Ind'l - Lg Vol CNGW05LV</t>
  </si>
  <si>
    <t>CNGWA05LV</t>
  </si>
  <si>
    <t>47WA.4009.4809</t>
  </si>
  <si>
    <t>47WA.4002.4811</t>
  </si>
  <si>
    <t>Interr Small Commercial</t>
  </si>
  <si>
    <t>4</t>
  </si>
  <si>
    <t>570</t>
  </si>
  <si>
    <t>CNGWA570</t>
  </si>
  <si>
    <t>GC RECOGNIZED RS 55700</t>
  </si>
  <si>
    <t>47WA.4009.4811</t>
  </si>
  <si>
    <t>GC RECOGNIZED RS 45700</t>
  </si>
  <si>
    <t>47WA.4009.4813</t>
  </si>
  <si>
    <t>Interr Industrial</t>
  </si>
  <si>
    <t>5</t>
  </si>
  <si>
    <t>CM Unbilled</t>
  </si>
  <si>
    <t>47WA.4002.4813</t>
  </si>
  <si>
    <t>Interr Industrial - Ltd</t>
  </si>
  <si>
    <t>577</t>
  </si>
  <si>
    <t>CNGWA577</t>
  </si>
  <si>
    <t>GC RECOGNIZED RS 55770</t>
  </si>
  <si>
    <t>Interr Institutional</t>
  </si>
  <si>
    <t>GC RECOGNIZED RS 65700</t>
  </si>
  <si>
    <t>TOTALS</t>
  </si>
  <si>
    <t xml:space="preserve">Total Gas Cost Recognized </t>
  </si>
  <si>
    <t>Pg 2</t>
  </si>
  <si>
    <t>S003000804009990670001</t>
  </si>
  <si>
    <t>GC RECOGNIZED CORE TOTAL</t>
  </si>
  <si>
    <t>Pg 8</t>
  </si>
  <si>
    <t>A</t>
  </si>
  <si>
    <t xml:space="preserve"> </t>
  </si>
  <si>
    <t>WASHINGTON - New Rates</t>
  </si>
  <si>
    <t>Sales</t>
  </si>
  <si>
    <t>Commodity</t>
  </si>
  <si>
    <t>Demand</t>
  </si>
  <si>
    <t>Total</t>
  </si>
  <si>
    <t>Cost</t>
  </si>
  <si>
    <t>Billed</t>
  </si>
  <si>
    <t>Recongnized</t>
  </si>
  <si>
    <t>Pg 3</t>
  </si>
  <si>
    <t>State</t>
  </si>
  <si>
    <t>Washington</t>
  </si>
  <si>
    <t>47WA.6011.28051</t>
  </si>
  <si>
    <t>47WA.2530.01253</t>
  </si>
  <si>
    <t>47WA.2530.01254</t>
  </si>
  <si>
    <t>Oregon</t>
  </si>
  <si>
    <t>Washington Deferrals</t>
  </si>
  <si>
    <t>Month of</t>
  </si>
  <si>
    <t>Gas Cost Recognized</t>
  </si>
  <si>
    <t>Pg</t>
  </si>
  <si>
    <t>Under the Rates - Effective 9/1/2016</t>
  </si>
  <si>
    <t>Under the Rates - Effective 9/1/2015</t>
  </si>
  <si>
    <t>Total Gas Cost Recognized</t>
  </si>
  <si>
    <t>Actual Gas Cost Incurred</t>
  </si>
  <si>
    <t>6</t>
  </si>
  <si>
    <t>Deferred Gas Cost Journalized</t>
  </si>
  <si>
    <t>47WA.2530.01253 - Gas Loss</t>
  </si>
  <si>
    <t>Gas Storage Mitigation</t>
  </si>
  <si>
    <t>Deferral Amount</t>
  </si>
  <si>
    <t>( ____ )  = credit to gas cost</t>
  </si>
  <si>
    <t>JDE Gas Cost Account Code</t>
  </si>
  <si>
    <t>JDE Deferred Gas Account Code</t>
  </si>
  <si>
    <t>Assignment of Core Gas Cost To</t>
  </si>
  <si>
    <t>Class &amp; Rate Schedule</t>
  </si>
  <si>
    <t>Core Gas Cost</t>
  </si>
  <si>
    <t>Revenue &amp; Cost by Rate Schedule - WA</t>
  </si>
  <si>
    <t>Therms</t>
  </si>
  <si>
    <t>Sep 1 2016</t>
  </si>
  <si>
    <t>PM Unbilled - Res</t>
  </si>
  <si>
    <t>CM Unbilled - Res</t>
  </si>
  <si>
    <t>PM Unbilled - Com'l</t>
  </si>
  <si>
    <t>CM Unbilled - Com'l</t>
  </si>
  <si>
    <t>New Rates</t>
  </si>
  <si>
    <t xml:space="preserve">    Summary of Gas Cost Accruals by Reg Jurisdiction</t>
  </si>
  <si>
    <t xml:space="preserve">Month of </t>
  </si>
  <si>
    <t>Current Month &amp; True-ups</t>
  </si>
  <si>
    <t>Current Month Accruals</t>
  </si>
  <si>
    <t xml:space="preserve">True-ups booked in </t>
  </si>
  <si>
    <t xml:space="preserve">xxx-08 True-Ups Booked in </t>
  </si>
  <si>
    <t>CORE</t>
  </si>
  <si>
    <t>Washington Amount</t>
  </si>
  <si>
    <t>Oregon Amount</t>
  </si>
  <si>
    <t>JDE Acct Code</t>
  </si>
  <si>
    <t>$</t>
  </si>
  <si>
    <t>TH</t>
  </si>
  <si>
    <t>47</t>
  </si>
  <si>
    <t>Contract Demand Charges</t>
  </si>
  <si>
    <t>NA</t>
  </si>
  <si>
    <t>D</t>
  </si>
  <si>
    <t>Canadian Toll Charges</t>
  </si>
  <si>
    <t>Commodity Charges</t>
  </si>
  <si>
    <t>C</t>
  </si>
  <si>
    <t>Financial Hedges Settlement</t>
  </si>
  <si>
    <t xml:space="preserve">Core Pipeline Imbalance </t>
  </si>
  <si>
    <t>Gas Withdrawn from Storage</t>
  </si>
  <si>
    <t>Gas Delivered to Storage (credit)</t>
  </si>
  <si>
    <t>Gas Used in Operations (credit)</t>
  </si>
  <si>
    <t>Off system sales</t>
  </si>
  <si>
    <t>Total Supply</t>
  </si>
  <si>
    <t>Capacity Reservation</t>
  </si>
  <si>
    <t>Firm Commodity</t>
  </si>
  <si>
    <t>Interruptible Commodity</t>
  </si>
  <si>
    <t>Other Firm Pipeline capacity</t>
  </si>
  <si>
    <t>Capacity Releases</t>
  </si>
  <si>
    <t>Total Pipeline Cap &amp; Transport</t>
  </si>
  <si>
    <t>LS Demand</t>
  </si>
  <si>
    <t>LS Capacity</t>
  </si>
  <si>
    <t>LS Commodity</t>
  </si>
  <si>
    <t>LS Liquefaction</t>
  </si>
  <si>
    <t>LS Inventory</t>
  </si>
  <si>
    <t>LS Vaporization</t>
  </si>
  <si>
    <t>TF Reservation from LS</t>
  </si>
  <si>
    <t>TF Commodity from LS</t>
  </si>
  <si>
    <t>SGS Demand</t>
  </si>
  <si>
    <t>SGS Capacity</t>
  </si>
  <si>
    <t>SGS Commodity</t>
  </si>
  <si>
    <t>SGS Inventory</t>
  </si>
  <si>
    <t>TF Reservation from SGS</t>
  </si>
  <si>
    <t>TF Commodity from SGS</t>
  </si>
  <si>
    <t>Total Peaking Services</t>
  </si>
  <si>
    <t>Total Core Gas Costs</t>
  </si>
  <si>
    <t>Total Commodity  (Col K, Rows , 10, 11, 12, 13, 14, 16, 20, 28, 29, 30, 31, 33, 36, 37 &amp; 39)</t>
  </si>
  <si>
    <t>Total Demand  (Col. K, Rows 8, 9, 19, 26, 27, 32, 34, 35, &amp; 38)</t>
  </si>
  <si>
    <t>WA &amp; OR</t>
  </si>
  <si>
    <t>JDE Export</t>
  </si>
  <si>
    <t>verified</t>
  </si>
  <si>
    <t>True-up</t>
  </si>
  <si>
    <t>28081/28082/28120</t>
  </si>
  <si>
    <t xml:space="preserve">    </t>
  </si>
  <si>
    <t>AU</t>
  </si>
  <si>
    <t>Ledger Type</t>
  </si>
  <si>
    <t>AA</t>
  </si>
  <si>
    <t>Year</t>
  </si>
  <si>
    <t>2017</t>
  </si>
  <si>
    <t>Format</t>
  </si>
  <si>
    <t>per</t>
  </si>
  <si>
    <t>Period</t>
  </si>
  <si>
    <t>Currency</t>
  </si>
  <si>
    <t>***</t>
  </si>
  <si>
    <t>Company</t>
  </si>
  <si>
    <t>00047</t>
  </si>
  <si>
    <t>Business Unit</t>
  </si>
  <si>
    <t>*</t>
  </si>
  <si>
    <t>CNGC</t>
  </si>
  <si>
    <t>47WA</t>
  </si>
  <si>
    <t>47OR</t>
  </si>
  <si>
    <t>28081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</si>
</sst>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0_);_(&quot;$&quot;* \(#,##0.00000\);_(&quot;$&quot;* &quot;-&quot;??_);_(@_)"/>
    <numFmt numFmtId="166" formatCode="mmmm\-yy"/>
    <numFmt numFmtId="167" formatCode="_(&quot;$&quot;* #,##0_);_(&quot;$&quot;* \(#,##0\);_(&quot;$&quot;* &quot;-&quot;??_);_(@_)"/>
    <numFmt numFmtId="168" formatCode="_(&quot;$&quot;* #,##0.0_);_(&quot;$&quot;* \(#,##0.0\);_(&quot;$&quot;* &quot;-&quot;??_);_(@_)"/>
    <numFmt numFmtId="169" formatCode="[$-409]mmmm\-yy;@"/>
  </numFmts>
  <fonts count="51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color rgb="FF0070C0"/>
      <name val="Arial"/>
      <family val="2"/>
    </font>
    <font>
      <b/>
      <sz val="11"/>
      <color indexed="10"/>
      <name val="Arial"/>
      <family val="2"/>
    </font>
    <font>
      <b/>
      <sz val="11"/>
      <color rgb="FF00B05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b/>
      <sz val="10"/>
      <color indexed="12"/>
      <name val="Arial"/>
      <family val="2"/>
    </font>
    <font>
      <u/>
      <sz val="10"/>
      <color rgb="FF00B050"/>
      <name val="Arial"/>
      <family val="2"/>
    </font>
    <font>
      <u/>
      <sz val="10"/>
      <name val="Arial"/>
      <family val="2"/>
    </font>
    <font>
      <b/>
      <sz val="12"/>
      <color indexed="10"/>
      <name val="Arial"/>
      <family val="2"/>
    </font>
    <font>
      <sz val="10"/>
      <color indexed="12"/>
      <name val="Arial"/>
      <family val="2"/>
    </font>
    <font>
      <sz val="12"/>
      <color indexed="10"/>
      <name val="Arial"/>
      <family val="2"/>
    </font>
    <font>
      <b/>
      <sz val="12"/>
      <color rgb="FF00B050"/>
      <name val="Arial"/>
      <family val="2"/>
    </font>
    <font>
      <sz val="12"/>
      <color rgb="FF00B050"/>
      <name val="Arial"/>
      <family val="2"/>
    </font>
    <font>
      <sz val="10"/>
      <color indexed="10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sz val="11"/>
      <color rgb="FF00B050"/>
      <name val="Arial"/>
      <family val="2"/>
    </font>
    <font>
      <sz val="11"/>
      <color indexed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u/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u/>
      <sz val="11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b/>
      <sz val="8"/>
      <color indexed="12"/>
      <name val="Arial"/>
      <family val="2"/>
    </font>
    <font>
      <i/>
      <sz val="8"/>
      <color indexed="10"/>
      <name val="Arial"/>
      <family val="2"/>
    </font>
    <font>
      <b/>
      <sz val="12"/>
      <color rgb="FF00B0F0"/>
      <name val="Arial"/>
      <family val="2"/>
    </font>
    <font>
      <b/>
      <u/>
      <sz val="9"/>
      <name val="Arial"/>
      <family val="2"/>
    </font>
    <font>
      <b/>
      <sz val="9"/>
      <color indexed="10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9"/>
      <name val="Arial"/>
      <family val="2"/>
    </font>
    <font>
      <sz val="10.5"/>
      <name val="Arial"/>
      <family val="2"/>
    </font>
    <font>
      <b/>
      <i/>
      <sz val="8"/>
      <name val="Arial"/>
      <family val="2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DDB7B"/>
        <bgColor indexed="64"/>
      </patternFill>
    </fill>
    <fill>
      <patternFill patternType="solid">
        <fgColor rgb="FF4BD0FF"/>
        <bgColor indexed="64"/>
      </patternFill>
    </fill>
    <fill>
      <patternFill patternType="solid">
        <fgColor rgb="FFFFCD2D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325">
    <xf numFmtId="0" fontId="0" fillId="0" borderId="0" xfId="0"/>
    <xf numFmtId="49" fontId="3" fillId="0" borderId="0" xfId="1" applyNumberFormat="1" applyFont="1"/>
    <xf numFmtId="0" fontId="1" fillId="2" borderId="0" xfId="0" applyFont="1" applyFill="1" applyBorder="1"/>
    <xf numFmtId="49" fontId="1" fillId="2" borderId="0" xfId="1" applyNumberFormat="1" applyFont="1" applyFill="1" applyBorder="1"/>
    <xf numFmtId="49" fontId="1" fillId="2" borderId="0" xfId="0" applyNumberFormat="1" applyFont="1" applyFill="1" applyBorder="1"/>
    <xf numFmtId="0" fontId="9" fillId="0" borderId="0" xfId="0" applyFont="1" applyAlignment="1">
      <alignment horizontal="center"/>
    </xf>
    <xf numFmtId="49" fontId="8" fillId="2" borderId="0" xfId="0" applyNumberFormat="1" applyFont="1" applyFill="1" applyBorder="1" applyAlignment="1">
      <alignment horizontal="center"/>
    </xf>
    <xf numFmtId="49" fontId="8" fillId="2" borderId="0" xfId="1" applyNumberFormat="1" applyFont="1" applyFill="1" applyBorder="1"/>
    <xf numFmtId="49" fontId="8" fillId="2" borderId="0" xfId="0" applyNumberFormat="1" applyFont="1" applyFill="1" applyBorder="1"/>
    <xf numFmtId="17" fontId="9" fillId="0" borderId="0" xfId="0" applyNumberFormat="1" applyFont="1" applyAlignment="1">
      <alignment horizontal="center"/>
    </xf>
    <xf numFmtId="0" fontId="8" fillId="0" borderId="0" xfId="0" applyFont="1"/>
    <xf numFmtId="14" fontId="11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" fillId="0" borderId="0" xfId="0" applyFont="1"/>
    <xf numFmtId="49" fontId="1" fillId="0" borderId="0" xfId="1" applyNumberFormat="1" applyFont="1"/>
    <xf numFmtId="49" fontId="1" fillId="0" borderId="0" xfId="0" applyNumberFormat="1" applyFont="1" applyAlignment="1">
      <alignment horizontal="center"/>
    </xf>
    <xf numFmtId="49" fontId="1" fillId="0" borderId="0" xfId="0" applyNumberFormat="1" applyFont="1"/>
    <xf numFmtId="49" fontId="1" fillId="0" borderId="0" xfId="0" applyNumberFormat="1" applyFont="1" applyFill="1"/>
    <xf numFmtId="164" fontId="13" fillId="0" borderId="0" xfId="1" applyNumberFormat="1" applyFont="1" applyFill="1"/>
    <xf numFmtId="44" fontId="1" fillId="0" borderId="0" xfId="2" applyNumberFormat="1"/>
    <xf numFmtId="44" fontId="1" fillId="0" borderId="0" xfId="0" applyNumberFormat="1" applyFont="1"/>
    <xf numFmtId="39" fontId="0" fillId="0" borderId="0" xfId="0" applyNumberFormat="1"/>
    <xf numFmtId="164" fontId="15" fillId="0" borderId="0" xfId="1" applyNumberFormat="1" applyFont="1" applyFill="1"/>
    <xf numFmtId="164" fontId="16" fillId="3" borderId="0" xfId="1" applyNumberFormat="1" applyFont="1" applyFill="1"/>
    <xf numFmtId="44" fontId="1" fillId="0" borderId="0" xfId="2" applyNumberFormat="1" applyFill="1"/>
    <xf numFmtId="0" fontId="0" fillId="0" borderId="0" xfId="0" applyFill="1"/>
    <xf numFmtId="44" fontId="1" fillId="0" borderId="0" xfId="0" applyNumberFormat="1" applyFont="1" applyFill="1"/>
    <xf numFmtId="44" fontId="0" fillId="0" borderId="0" xfId="0" applyNumberFormat="1"/>
    <xf numFmtId="164" fontId="18" fillId="0" borderId="0" xfId="1" applyNumberFormat="1" applyFont="1" applyFill="1"/>
    <xf numFmtId="164" fontId="9" fillId="0" borderId="0" xfId="1" applyNumberFormat="1" applyFont="1" applyFill="1"/>
    <xf numFmtId="164" fontId="19" fillId="3" borderId="0" xfId="1" applyNumberFormat="1" applyFont="1" applyFill="1"/>
    <xf numFmtId="165" fontId="1" fillId="0" borderId="0" xfId="2" applyNumberFormat="1"/>
    <xf numFmtId="164" fontId="21" fillId="0" borderId="0" xfId="1" applyNumberFormat="1" applyFont="1" applyFill="1"/>
    <xf numFmtId="164" fontId="22" fillId="0" borderId="0" xfId="1" applyNumberFormat="1" applyFont="1" applyFill="1"/>
    <xf numFmtId="165" fontId="23" fillId="0" borderId="0" xfId="2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/>
    <xf numFmtId="164" fontId="2" fillId="0" borderId="0" xfId="1" applyNumberFormat="1" applyFont="1"/>
    <xf numFmtId="44" fontId="8" fillId="0" borderId="0" xfId="2" applyNumberFormat="1" applyFont="1"/>
    <xf numFmtId="164" fontId="2" fillId="3" borderId="0" xfId="1" applyNumberFormat="1" applyFont="1" applyFill="1"/>
    <xf numFmtId="167" fontId="1" fillId="0" borderId="0" xfId="2" applyNumberFormat="1"/>
    <xf numFmtId="44" fontId="18" fillId="0" borderId="0" xfId="2" applyNumberFormat="1" applyFont="1"/>
    <xf numFmtId="164" fontId="24" fillId="0" borderId="0" xfId="1" applyNumberFormat="1" applyFont="1" applyAlignment="1">
      <alignment horizontal="center"/>
    </xf>
    <xf numFmtId="44" fontId="1" fillId="0" borderId="0" xfId="2" applyNumberFormat="1" applyFont="1"/>
    <xf numFmtId="164" fontId="24" fillId="0" borderId="0" xfId="1" applyNumberFormat="1" applyFont="1" applyAlignment="1">
      <alignment horizontal="center" vertical="center"/>
    </xf>
    <xf numFmtId="164" fontId="1" fillId="0" borderId="0" xfId="1" applyNumberFormat="1"/>
    <xf numFmtId="44" fontId="8" fillId="0" borderId="0" xfId="2" applyNumberFormat="1" applyFont="1" applyAlignment="1">
      <alignment horizontal="left"/>
    </xf>
    <xf numFmtId="164" fontId="18" fillId="0" borderId="0" xfId="1" applyNumberFormat="1" applyFont="1"/>
    <xf numFmtId="165" fontId="1" fillId="0" borderId="0" xfId="2" applyNumberFormat="1" applyFont="1" applyAlignment="1">
      <alignment horizontal="left"/>
    </xf>
    <xf numFmtId="43" fontId="1" fillId="0" borderId="0" xfId="1" applyFont="1" applyAlignment="1">
      <alignment horizontal="left"/>
    </xf>
    <xf numFmtId="168" fontId="1" fillId="0" borderId="0" xfId="2" applyNumberFormat="1"/>
    <xf numFmtId="44" fontId="18" fillId="0" borderId="0" xfId="2" applyFont="1" applyFill="1"/>
    <xf numFmtId="44" fontId="1" fillId="0" borderId="0" xfId="2" applyFont="1"/>
    <xf numFmtId="44" fontId="1" fillId="0" borderId="0" xfId="2"/>
    <xf numFmtId="43" fontId="8" fillId="0" borderId="0" xfId="1" applyFont="1" applyAlignment="1">
      <alignment horizontal="left"/>
    </xf>
    <xf numFmtId="44" fontId="14" fillId="0" borderId="0" xfId="2" applyFont="1" applyFill="1"/>
    <xf numFmtId="43" fontId="1" fillId="0" borderId="0" xfId="1"/>
    <xf numFmtId="164" fontId="1" fillId="0" borderId="0" xfId="1" applyNumberFormat="1" applyFont="1"/>
    <xf numFmtId="49" fontId="4" fillId="0" borderId="0" xfId="0" applyNumberFormat="1" applyFont="1" applyAlignment="1">
      <alignment vertical="center"/>
    </xf>
    <xf numFmtId="165" fontId="1" fillId="2" borderId="0" xfId="2" applyNumberFormat="1" applyFont="1" applyFill="1" applyBorder="1" applyAlignment="1">
      <alignment horizontal="center"/>
    </xf>
    <xf numFmtId="49" fontId="8" fillId="2" borderId="2" xfId="0" applyNumberFormat="1" applyFont="1" applyFill="1" applyBorder="1" applyAlignment="1">
      <alignment horizontal="center"/>
    </xf>
    <xf numFmtId="49" fontId="8" fillId="2" borderId="2" xfId="1" applyNumberFormat="1" applyFont="1" applyFill="1" applyBorder="1" applyAlignment="1">
      <alignment horizontal="center"/>
    </xf>
    <xf numFmtId="166" fontId="10" fillId="2" borderId="2" xfId="2" applyNumberFormat="1" applyFont="1" applyFill="1" applyBorder="1" applyAlignment="1">
      <alignment horizontal="center"/>
    </xf>
    <xf numFmtId="165" fontId="1" fillId="2" borderId="2" xfId="2" applyNumberFormat="1" applyFont="1" applyFill="1" applyBorder="1" applyAlignment="1">
      <alignment horizontal="center"/>
    </xf>
    <xf numFmtId="0" fontId="1" fillId="0" borderId="0" xfId="0" applyFont="1" applyAlignment="1">
      <alignment horizontal="left" indent="1"/>
    </xf>
    <xf numFmtId="165" fontId="14" fillId="5" borderId="0" xfId="2" applyNumberFormat="1" applyFont="1" applyFill="1"/>
    <xf numFmtId="165" fontId="14" fillId="6" borderId="0" xfId="2" applyNumberFormat="1" applyFont="1" applyFill="1"/>
    <xf numFmtId="164" fontId="17" fillId="3" borderId="0" xfId="1" applyNumberFormat="1" applyFont="1" applyFill="1"/>
    <xf numFmtId="164" fontId="17" fillId="0" borderId="0" xfId="1" applyNumberFormat="1" applyFont="1" applyFill="1"/>
    <xf numFmtId="165" fontId="10" fillId="6" borderId="0" xfId="2" applyNumberFormat="1" applyFont="1" applyFill="1"/>
    <xf numFmtId="164" fontId="20" fillId="3" borderId="0" xfId="1" applyNumberFormat="1" applyFont="1" applyFill="1"/>
    <xf numFmtId="0" fontId="8" fillId="0" borderId="0" xfId="0" applyFont="1" applyAlignment="1">
      <alignment horizontal="left" indent="1"/>
    </xf>
    <xf numFmtId="44" fontId="8" fillId="0" borderId="0" xfId="2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 applyBorder="1"/>
    <xf numFmtId="0" fontId="1" fillId="0" borderId="2" xfId="0" applyFont="1" applyFill="1" applyBorder="1"/>
    <xf numFmtId="0" fontId="31" fillId="0" borderId="0" xfId="0" applyFont="1"/>
    <xf numFmtId="0" fontId="8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indent="1"/>
    </xf>
    <xf numFmtId="0" fontId="1" fillId="0" borderId="0" xfId="0" applyFont="1" applyFill="1"/>
    <xf numFmtId="164" fontId="31" fillId="0" borderId="0" xfId="1" applyNumberFormat="1" applyFont="1"/>
    <xf numFmtId="164" fontId="1" fillId="2" borderId="0" xfId="1" applyNumberFormat="1" applyFont="1" applyFill="1" applyBorder="1" applyAlignment="1">
      <alignment horizontal="center"/>
    </xf>
    <xf numFmtId="43" fontId="3" fillId="0" borderId="0" xfId="1" applyFont="1"/>
    <xf numFmtId="49" fontId="4" fillId="0" borderId="0" xfId="0" applyNumberFormat="1" applyFont="1" applyAlignment="1">
      <alignment vertical="top"/>
    </xf>
    <xf numFmtId="164" fontId="1" fillId="2" borderId="2" xfId="1" applyNumberFormat="1" applyFont="1" applyFill="1" applyBorder="1" applyAlignment="1">
      <alignment horizontal="center"/>
    </xf>
    <xf numFmtId="44" fontId="8" fillId="10" borderId="0" xfId="0" applyNumberFormat="1" applyFont="1" applyFill="1" applyBorder="1" applyAlignment="1">
      <alignment horizontal="center"/>
    </xf>
    <xf numFmtId="44" fontId="8" fillId="11" borderId="0" xfId="0" applyNumberFormat="1" applyFont="1" applyFill="1" applyBorder="1" applyAlignment="1">
      <alignment horizontal="center"/>
    </xf>
    <xf numFmtId="44" fontId="1" fillId="0" borderId="10" xfId="2" applyFont="1" applyBorder="1"/>
    <xf numFmtId="164" fontId="1" fillId="0" borderId="3" xfId="1" applyNumberFormat="1" applyFont="1" applyBorder="1"/>
    <xf numFmtId="44" fontId="1" fillId="0" borderId="3" xfId="2" applyFont="1" applyBorder="1"/>
    <xf numFmtId="43" fontId="1" fillId="0" borderId="0" xfId="1" applyNumberFormat="1" applyFont="1"/>
    <xf numFmtId="164" fontId="31" fillId="0" borderId="0" xfId="1" applyNumberFormat="1" applyFont="1" applyFill="1"/>
    <xf numFmtId="49" fontId="30" fillId="0" borderId="0" xfId="1" applyNumberFormat="1" applyFont="1"/>
    <xf numFmtId="49" fontId="30" fillId="0" borderId="0" xfId="1" applyNumberFormat="1" applyFont="1" applyAlignment="1">
      <alignment horizontal="left"/>
    </xf>
    <xf numFmtId="49" fontId="24" fillId="0" borderId="0" xfId="1" applyNumberFormat="1" applyFont="1" applyAlignment="1">
      <alignment horizontal="left"/>
    </xf>
    <xf numFmtId="164" fontId="31" fillId="0" borderId="0" xfId="1" applyNumberFormat="1" applyFont="1" applyAlignment="1">
      <alignment horizontal="left"/>
    </xf>
    <xf numFmtId="43" fontId="31" fillId="0" borderId="0" xfId="1" applyNumberFormat="1" applyFont="1"/>
    <xf numFmtId="164" fontId="31" fillId="13" borderId="0" xfId="1" applyNumberFormat="1" applyFont="1" applyFill="1"/>
    <xf numFmtId="43" fontId="36" fillId="0" borderId="0" xfId="1" applyNumberFormat="1" applyFont="1"/>
    <xf numFmtId="43" fontId="31" fillId="0" borderId="0" xfId="1" applyFont="1" applyFill="1"/>
    <xf numFmtId="49" fontId="31" fillId="0" borderId="0" xfId="1" applyNumberFormat="1" applyFont="1"/>
    <xf numFmtId="49" fontId="2" fillId="0" borderId="0" xfId="1" applyNumberFormat="1" applyFont="1" applyBorder="1"/>
    <xf numFmtId="43" fontId="31" fillId="0" borderId="0" xfId="1" applyNumberFormat="1" applyFont="1" applyBorder="1"/>
    <xf numFmtId="164" fontId="1" fillId="13" borderId="0" xfId="1" applyNumberFormat="1" applyFont="1" applyFill="1"/>
    <xf numFmtId="169" fontId="22" fillId="0" borderId="0" xfId="1" applyNumberFormat="1" applyFont="1" applyBorder="1" applyAlignment="1"/>
    <xf numFmtId="164" fontId="35" fillId="0" borderId="0" xfId="1" applyNumberFormat="1" applyFont="1" applyAlignment="1">
      <alignment horizontal="center"/>
    </xf>
    <xf numFmtId="49" fontId="2" fillId="0" borderId="0" xfId="1" applyNumberFormat="1" applyFont="1"/>
    <xf numFmtId="164" fontId="3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vertical="center"/>
    </xf>
    <xf numFmtId="164" fontId="3" fillId="13" borderId="0" xfId="1" applyNumberFormat="1" applyFont="1" applyFill="1"/>
    <xf numFmtId="164" fontId="33" fillId="0" borderId="0" xfId="1" applyNumberFormat="1" applyFont="1" applyAlignment="1">
      <alignment horizontal="center"/>
    </xf>
    <xf numFmtId="164" fontId="1" fillId="2" borderId="2" xfId="1" applyNumberFormat="1" applyFont="1" applyFill="1" applyBorder="1"/>
    <xf numFmtId="164" fontId="12" fillId="2" borderId="3" xfId="1" applyNumberFormat="1" applyFont="1" applyFill="1" applyBorder="1" applyAlignment="1">
      <alignment horizontal="center"/>
    </xf>
    <xf numFmtId="43" fontId="12" fillId="2" borderId="3" xfId="1" applyNumberFormat="1" applyFont="1" applyFill="1" applyBorder="1" applyAlignment="1">
      <alignment horizontal="center"/>
    </xf>
    <xf numFmtId="164" fontId="12" fillId="2" borderId="2" xfId="1" applyNumberFormat="1" applyFont="1" applyFill="1" applyBorder="1" applyAlignment="1">
      <alignment horizontal="center"/>
    </xf>
    <xf numFmtId="43" fontId="12" fillId="2" borderId="2" xfId="1" applyNumberFormat="1" applyFont="1" applyFill="1" applyBorder="1" applyAlignment="1">
      <alignment horizontal="center"/>
    </xf>
    <xf numFmtId="164" fontId="29" fillId="2" borderId="2" xfId="1" applyNumberFormat="1" applyFont="1" applyFill="1" applyBorder="1" applyAlignment="1">
      <alignment horizontal="center"/>
    </xf>
    <xf numFmtId="43" fontId="29" fillId="2" borderId="2" xfId="1" applyNumberFormat="1" applyFont="1" applyFill="1" applyBorder="1" applyAlignment="1">
      <alignment horizontal="center"/>
    </xf>
    <xf numFmtId="164" fontId="38" fillId="2" borderId="2" xfId="1" applyNumberFormat="1" applyFont="1" applyFill="1" applyBorder="1" applyAlignment="1">
      <alignment horizontal="center"/>
    </xf>
    <xf numFmtId="43" fontId="12" fillId="0" borderId="0" xfId="1" applyNumberFormat="1" applyFont="1" applyAlignment="1">
      <alignment horizontal="center"/>
    </xf>
    <xf numFmtId="49" fontId="1" fillId="14" borderId="0" xfId="1" applyNumberFormat="1" applyFont="1" applyFill="1" applyAlignment="1">
      <alignment horizontal="right"/>
    </xf>
    <xf numFmtId="0" fontId="1" fillId="14" borderId="0" xfId="1" applyNumberFormat="1" applyFont="1" applyFill="1" applyAlignment="1">
      <alignment horizontal="center"/>
    </xf>
    <xf numFmtId="0" fontId="2" fillId="0" borderId="0" xfId="1" applyNumberFormat="1" applyFont="1" applyAlignment="1">
      <alignment horizontal="center"/>
    </xf>
    <xf numFmtId="164" fontId="23" fillId="0" borderId="0" xfId="1" applyNumberFormat="1" applyFont="1" applyAlignment="1">
      <alignment horizontal="center"/>
    </xf>
    <xf numFmtId="44" fontId="23" fillId="0" borderId="0" xfId="2" applyFont="1"/>
    <xf numFmtId="164" fontId="1" fillId="0" borderId="0" xfId="1" applyNumberFormat="1" applyFont="1" applyAlignment="1">
      <alignment horizontal="left" indent="3"/>
    </xf>
    <xf numFmtId="44" fontId="1" fillId="15" borderId="0" xfId="2" applyFont="1" applyFill="1"/>
    <xf numFmtId="164" fontId="1" fillId="0" borderId="0" xfId="1" applyNumberFormat="1" applyFont="1" applyFill="1" applyAlignment="1">
      <alignment horizontal="left"/>
    </xf>
    <xf numFmtId="44" fontId="6" fillId="15" borderId="0" xfId="2" applyFont="1" applyFill="1"/>
    <xf numFmtId="164" fontId="23" fillId="0" borderId="0" xfId="1" applyNumberFormat="1" applyFont="1" applyAlignment="1">
      <alignment horizontal="left"/>
    </xf>
    <xf numFmtId="44" fontId="22" fillId="15" borderId="0" xfId="2" applyFont="1" applyFill="1"/>
    <xf numFmtId="0" fontId="2" fillId="15" borderId="0" xfId="2" applyNumberFormat="1" applyFont="1" applyFill="1" applyAlignment="1">
      <alignment horizontal="center"/>
    </xf>
    <xf numFmtId="164" fontId="23" fillId="0" borderId="0" xfId="1" applyNumberFormat="1" applyFont="1"/>
    <xf numFmtId="164" fontId="1" fillId="0" borderId="0" xfId="1" applyNumberFormat="1" applyFont="1" applyFill="1"/>
    <xf numFmtId="44" fontId="1" fillId="16" borderId="0" xfId="2" applyNumberFormat="1" applyFont="1" applyFill="1"/>
    <xf numFmtId="44" fontId="1" fillId="16" borderId="0" xfId="2" applyFont="1" applyFill="1"/>
    <xf numFmtId="164" fontId="6" fillId="0" borderId="0" xfId="1" applyNumberFormat="1" applyFont="1"/>
    <xf numFmtId="44" fontId="6" fillId="16" borderId="0" xfId="2" applyFont="1" applyFill="1"/>
    <xf numFmtId="164" fontId="39" fillId="0" borderId="0" xfId="1" applyNumberFormat="1" applyFont="1" applyAlignment="1">
      <alignment horizontal="left"/>
    </xf>
    <xf numFmtId="164" fontId="33" fillId="0" borderId="0" xfId="1" applyNumberFormat="1" applyFont="1"/>
    <xf numFmtId="164" fontId="39" fillId="0" borderId="0" xfId="1" applyNumberFormat="1" applyFont="1" applyAlignment="1">
      <alignment horizontal="left" indent="1"/>
    </xf>
    <xf numFmtId="44" fontId="34" fillId="17" borderId="0" xfId="2" applyFont="1" applyFill="1"/>
    <xf numFmtId="0" fontId="2" fillId="16" borderId="0" xfId="1" applyNumberFormat="1" applyFont="1" applyFill="1" applyAlignment="1">
      <alignment horizontal="center"/>
    </xf>
    <xf numFmtId="164" fontId="1" fillId="0" borderId="0" xfId="1" applyNumberFormat="1" applyFont="1" applyFill="1" applyAlignment="1">
      <alignment horizontal="left" indent="3"/>
    </xf>
    <xf numFmtId="164" fontId="1" fillId="0" borderId="0" xfId="1" applyNumberFormat="1" applyFont="1" applyAlignment="1">
      <alignment horizontal="left" indent="4"/>
    </xf>
    <xf numFmtId="44" fontId="22" fillId="16" borderId="0" xfId="2" applyFont="1" applyFill="1"/>
    <xf numFmtId="164" fontId="40" fillId="0" borderId="0" xfId="1" applyNumberFormat="1" applyFont="1" applyAlignment="1">
      <alignment horizontal="left" indent="4"/>
    </xf>
    <xf numFmtId="164" fontId="41" fillId="0" borderId="0" xfId="1" applyNumberFormat="1" applyFont="1" applyAlignment="1">
      <alignment horizontal="left"/>
    </xf>
    <xf numFmtId="43" fontId="31" fillId="13" borderId="0" xfId="1" applyFont="1" applyFill="1"/>
    <xf numFmtId="44" fontId="6" fillId="16" borderId="0" xfId="2" applyNumberFormat="1" applyFont="1" applyFill="1"/>
    <xf numFmtId="49" fontId="1" fillId="7" borderId="0" xfId="1" applyNumberFormat="1" applyFont="1" applyFill="1" applyAlignment="1">
      <alignment horizontal="right"/>
    </xf>
    <xf numFmtId="0" fontId="1" fillId="7" borderId="0" xfId="1" applyNumberFormat="1" applyFont="1" applyFill="1" applyAlignment="1">
      <alignment horizontal="center"/>
    </xf>
    <xf numFmtId="0" fontId="2" fillId="18" borderId="0" xfId="1" applyNumberFormat="1" applyFont="1" applyFill="1" applyAlignment="1">
      <alignment horizontal="center"/>
    </xf>
    <xf numFmtId="164" fontId="1" fillId="18" borderId="0" xfId="1" applyNumberFormat="1" applyFont="1" applyFill="1"/>
    <xf numFmtId="164" fontId="22" fillId="0" borderId="0" xfId="1" applyNumberFormat="1" applyFont="1"/>
    <xf numFmtId="44" fontId="22" fillId="18" borderId="0" xfId="2" applyFont="1" applyFill="1"/>
    <xf numFmtId="164" fontId="23" fillId="13" borderId="0" xfId="1" applyNumberFormat="1" applyFont="1" applyFill="1" applyAlignment="1">
      <alignment horizontal="left" vertical="top"/>
    </xf>
    <xf numFmtId="43" fontId="42" fillId="0" borderId="0" xfId="1" applyFont="1"/>
    <xf numFmtId="164" fontId="40" fillId="0" borderId="0" xfId="1" applyNumberFormat="1" applyFont="1" applyAlignment="1">
      <alignment horizontal="left"/>
    </xf>
    <xf numFmtId="44" fontId="6" fillId="18" borderId="0" xfId="2" applyFont="1" applyFill="1"/>
    <xf numFmtId="164" fontId="43" fillId="0" borderId="0" xfId="1" applyNumberFormat="1" applyFont="1"/>
    <xf numFmtId="164" fontId="1" fillId="0" borderId="2" xfId="1" applyNumberFormat="1" applyFont="1" applyBorder="1"/>
    <xf numFmtId="44" fontId="1" fillId="16" borderId="2" xfId="2" applyFont="1" applyFill="1" applyBorder="1"/>
    <xf numFmtId="164" fontId="18" fillId="0" borderId="2" xfId="1" applyNumberFormat="1" applyFont="1" applyBorder="1"/>
    <xf numFmtId="44" fontId="18" fillId="16" borderId="0" xfId="2" applyFont="1" applyFill="1"/>
    <xf numFmtId="44" fontId="22" fillId="16" borderId="2" xfId="2" applyFont="1" applyFill="1" applyBorder="1"/>
    <xf numFmtId="49" fontId="1" fillId="14" borderId="0" xfId="1" applyNumberFormat="1" applyFont="1" applyFill="1" applyAlignment="1">
      <alignment horizontal="center"/>
    </xf>
    <xf numFmtId="49" fontId="2" fillId="0" borderId="0" xfId="1" applyNumberFormat="1" applyFont="1" applyAlignment="1">
      <alignment horizontal="center"/>
    </xf>
    <xf numFmtId="43" fontId="1" fillId="0" borderId="3" xfId="1" applyNumberFormat="1" applyFont="1" applyBorder="1"/>
    <xf numFmtId="164" fontId="23" fillId="0" borderId="10" xfId="1" applyNumberFormat="1" applyFont="1" applyBorder="1"/>
    <xf numFmtId="44" fontId="23" fillId="0" borderId="10" xfId="2" applyFont="1" applyBorder="1"/>
    <xf numFmtId="164" fontId="1" fillId="0" borderId="10" xfId="1" applyNumberFormat="1" applyFont="1" applyBorder="1"/>
    <xf numFmtId="44" fontId="3" fillId="0" borderId="3" xfId="2" applyFont="1" applyBorder="1"/>
    <xf numFmtId="164" fontId="31" fillId="0" borderId="3" xfId="1" applyNumberFormat="1" applyFont="1" applyBorder="1" applyAlignment="1">
      <alignment horizontal="left"/>
    </xf>
    <xf numFmtId="44" fontId="33" fillId="0" borderId="0" xfId="2" applyFont="1"/>
    <xf numFmtId="43" fontId="23" fillId="0" borderId="10" xfId="1" applyNumberFormat="1" applyFont="1" applyBorder="1"/>
    <xf numFmtId="164" fontId="31" fillId="0" borderId="0" xfId="1" applyNumberFormat="1" applyFont="1" applyFill="1" applyAlignment="1">
      <alignment horizontal="left"/>
    </xf>
    <xf numFmtId="43" fontId="23" fillId="0" borderId="0" xfId="1" applyNumberFormat="1" applyFont="1"/>
    <xf numFmtId="164" fontId="23" fillId="0" borderId="0" xfId="1" applyNumberFormat="1" applyFont="1" applyAlignment="1">
      <alignment horizontal="left" indent="4"/>
    </xf>
    <xf numFmtId="164" fontId="23" fillId="0" borderId="0" xfId="1" applyNumberFormat="1" applyFont="1" applyAlignment="1">
      <alignment horizontal="left" indent="3"/>
    </xf>
    <xf numFmtId="164" fontId="23" fillId="0" borderId="0" xfId="1" applyNumberFormat="1" applyFont="1" applyAlignment="1"/>
    <xf numFmtId="164" fontId="33" fillId="0" borderId="0" xfId="1" applyNumberFormat="1" applyFont="1" applyAlignment="1">
      <alignment horizontal="left"/>
    </xf>
    <xf numFmtId="164" fontId="44" fillId="0" borderId="0" xfId="1" applyNumberFormat="1" applyFont="1" applyAlignment="1">
      <alignment horizontal="left"/>
    </xf>
    <xf numFmtId="44" fontId="6" fillId="15" borderId="0" xfId="2" applyFont="1" applyFill="1" applyAlignment="1"/>
    <xf numFmtId="44" fontId="31" fillId="0" borderId="0" xfId="2" applyFont="1"/>
    <xf numFmtId="164" fontId="23" fillId="0" borderId="2" xfId="1" applyNumberFormat="1" applyFont="1" applyBorder="1" applyAlignment="1">
      <alignment horizontal="left" indent="3"/>
    </xf>
    <xf numFmtId="44" fontId="1" fillId="15" borderId="2" xfId="2" applyFont="1" applyFill="1" applyBorder="1"/>
    <xf numFmtId="164" fontId="1" fillId="0" borderId="0" xfId="1" applyNumberFormat="1" applyFont="1" applyAlignment="1">
      <alignment horizontal="center"/>
    </xf>
    <xf numFmtId="164" fontId="1" fillId="0" borderId="2" xfId="1" applyNumberFormat="1" applyFont="1" applyBorder="1" applyAlignment="1">
      <alignment horizontal="left" indent="3"/>
    </xf>
    <xf numFmtId="44" fontId="6" fillId="15" borderId="2" xfId="2" applyFont="1" applyFill="1" applyBorder="1"/>
    <xf numFmtId="164" fontId="23" fillId="0" borderId="3" xfId="1" applyNumberFormat="1" applyFont="1" applyBorder="1"/>
    <xf numFmtId="44" fontId="23" fillId="0" borderId="3" xfId="2" applyFont="1" applyBorder="1"/>
    <xf numFmtId="164" fontId="23" fillId="0" borderId="3" xfId="1" applyNumberFormat="1" applyFont="1" applyBorder="1" applyAlignment="1">
      <alignment horizontal="left" indent="3"/>
    </xf>
    <xf numFmtId="164" fontId="1" fillId="0" borderId="10" xfId="1" applyNumberFormat="1" applyFont="1" applyBorder="1" applyAlignment="1">
      <alignment horizontal="left" indent="3"/>
    </xf>
    <xf numFmtId="44" fontId="2" fillId="0" borderId="3" xfId="2" applyFont="1" applyBorder="1"/>
    <xf numFmtId="164" fontId="23" fillId="0" borderId="3" xfId="1" applyNumberFormat="1" applyFont="1" applyBorder="1" applyAlignment="1"/>
    <xf numFmtId="44" fontId="3" fillId="0" borderId="10" xfId="2" applyFont="1" applyBorder="1"/>
    <xf numFmtId="164" fontId="31" fillId="0" borderId="10" xfId="1" applyNumberFormat="1" applyFont="1" applyBorder="1"/>
    <xf numFmtId="164" fontId="23" fillId="0" borderId="10" xfId="1" applyNumberFormat="1" applyFont="1" applyBorder="1" applyAlignment="1">
      <alignment horizontal="left" indent="3"/>
    </xf>
    <xf numFmtId="44" fontId="18" fillId="15" borderId="0" xfId="2" applyFont="1" applyFill="1"/>
    <xf numFmtId="44" fontId="23" fillId="0" borderId="2" xfId="2" applyFont="1" applyBorder="1"/>
    <xf numFmtId="164" fontId="23" fillId="0" borderId="2" xfId="1" applyNumberFormat="1" applyFont="1" applyBorder="1" applyAlignment="1"/>
    <xf numFmtId="164" fontId="31" fillId="0" borderId="0" xfId="1" applyNumberFormat="1" applyFont="1" applyAlignment="1">
      <alignment horizontal="left" indent="1"/>
    </xf>
    <xf numFmtId="43" fontId="31" fillId="0" borderId="3" xfId="1" applyNumberFormat="1" applyFont="1" applyBorder="1"/>
    <xf numFmtId="43" fontId="23" fillId="0" borderId="3" xfId="1" applyNumberFormat="1" applyFont="1" applyBorder="1"/>
    <xf numFmtId="164" fontId="23" fillId="0" borderId="0" xfId="1" applyNumberFormat="1" applyFont="1" applyFill="1" applyAlignment="1">
      <alignment horizontal="left"/>
    </xf>
    <xf numFmtId="164" fontId="31" fillId="0" borderId="3" xfId="1" applyNumberFormat="1" applyFont="1" applyBorder="1"/>
    <xf numFmtId="164" fontId="2" fillId="0" borderId="3" xfId="1" applyNumberFormat="1" applyFont="1" applyBorder="1"/>
    <xf numFmtId="164" fontId="3" fillId="0" borderId="0" xfId="1" applyNumberFormat="1" applyFont="1" applyFill="1" applyAlignment="1">
      <alignment horizontal="left"/>
    </xf>
    <xf numFmtId="164" fontId="3" fillId="0" borderId="0" xfId="1" applyNumberFormat="1" applyFont="1"/>
    <xf numFmtId="164" fontId="33" fillId="0" borderId="3" xfId="1" applyNumberFormat="1" applyFont="1" applyBorder="1" applyAlignment="1">
      <alignment horizontal="right"/>
    </xf>
    <xf numFmtId="43" fontId="31" fillId="0" borderId="10" xfId="1" applyNumberFormat="1" applyFont="1" applyBorder="1"/>
    <xf numFmtId="164" fontId="8" fillId="0" borderId="0" xfId="1" applyNumberFormat="1" applyFont="1" applyAlignment="1">
      <alignment horizontal="center"/>
    </xf>
    <xf numFmtId="44" fontId="3" fillId="9" borderId="0" xfId="2" applyFont="1" applyFill="1"/>
    <xf numFmtId="44" fontId="3" fillId="12" borderId="0" xfId="2" applyFont="1" applyFill="1"/>
    <xf numFmtId="164" fontId="23" fillId="13" borderId="0" xfId="1" applyNumberFormat="1" applyFont="1" applyFill="1"/>
    <xf numFmtId="44" fontId="3" fillId="16" borderId="0" xfId="2" applyFont="1" applyFill="1"/>
    <xf numFmtId="44" fontId="31" fillId="17" borderId="0" xfId="2" applyFont="1" applyFill="1"/>
    <xf numFmtId="44" fontId="3" fillId="15" borderId="0" xfId="2" applyFont="1" applyFill="1"/>
    <xf numFmtId="44" fontId="31" fillId="15" borderId="0" xfId="2" applyFont="1" applyFill="1"/>
    <xf numFmtId="164" fontId="23" fillId="0" borderId="0" xfId="1" applyNumberFormat="1" applyFont="1" applyFill="1"/>
    <xf numFmtId="44" fontId="33" fillId="0" borderId="3" xfId="2" applyFont="1" applyBorder="1"/>
    <xf numFmtId="44" fontId="33" fillId="0" borderId="0" xfId="2" applyFont="1" applyBorder="1"/>
    <xf numFmtId="43" fontId="2" fillId="8" borderId="3" xfId="1" applyNumberFormat="1" applyFont="1" applyFill="1" applyBorder="1"/>
    <xf numFmtId="164" fontId="45" fillId="8" borderId="0" xfId="1" applyNumberFormat="1" applyFont="1" applyFill="1"/>
    <xf numFmtId="43" fontId="2" fillId="8" borderId="0" xfId="1" applyNumberFormat="1" applyFont="1" applyFill="1" applyAlignment="1">
      <alignment horizontal="left"/>
    </xf>
    <xf numFmtId="164" fontId="46" fillId="0" borderId="0" xfId="1" applyNumberFormat="1" applyFont="1" applyAlignment="1">
      <alignment horizontal="left" wrapText="1"/>
    </xf>
    <xf numFmtId="43" fontId="31" fillId="0" borderId="0" xfId="1" applyNumberFormat="1" applyFont="1" applyAlignment="1">
      <alignment horizontal="left"/>
    </xf>
    <xf numFmtId="164" fontId="45" fillId="0" borderId="0" xfId="1" applyNumberFormat="1" applyFont="1"/>
    <xf numFmtId="43" fontId="3" fillId="0" borderId="0" xfId="1" applyNumberFormat="1" applyFont="1" applyAlignment="1">
      <alignment horizontal="left"/>
    </xf>
    <xf numFmtId="43" fontId="3" fillId="0" borderId="10" xfId="1" applyNumberFormat="1" applyFont="1" applyFill="1" applyBorder="1" applyAlignment="1">
      <alignment horizontal="left"/>
    </xf>
    <xf numFmtId="164" fontId="31" fillId="0" borderId="0" xfId="1" applyNumberFormat="1" applyFont="1" applyBorder="1"/>
    <xf numFmtId="43" fontId="3" fillId="0" borderId="10" xfId="1" applyNumberFormat="1" applyFont="1" applyBorder="1" applyAlignment="1">
      <alignment horizontal="left"/>
    </xf>
    <xf numFmtId="43" fontId="31" fillId="0" borderId="0" xfId="1" applyFont="1"/>
    <xf numFmtId="49" fontId="3" fillId="13" borderId="0" xfId="0" applyNumberFormat="1" applyFont="1" applyFill="1" applyAlignment="1">
      <alignment horizontal="right"/>
    </xf>
    <xf numFmtId="49" fontId="1" fillId="13" borderId="0" xfId="0" applyNumberFormat="1" applyFont="1" applyFill="1" applyAlignment="1">
      <alignment horizontal="right"/>
    </xf>
    <xf numFmtId="49" fontId="3" fillId="0" borderId="0" xfId="0" applyNumberFormat="1" applyFont="1" applyAlignment="1">
      <alignment horizontal="center"/>
    </xf>
    <xf numFmtId="43" fontId="3" fillId="0" borderId="0" xfId="1" applyNumberFormat="1" applyFont="1" applyBorder="1" applyAlignment="1">
      <alignment horizontal="left"/>
    </xf>
    <xf numFmtId="0" fontId="31" fillId="0" borderId="0" xfId="1" applyNumberFormat="1" applyFont="1"/>
    <xf numFmtId="49" fontId="3" fillId="4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right"/>
    </xf>
    <xf numFmtId="164" fontId="1" fillId="0" borderId="1" xfId="1" applyNumberFormat="1" applyFont="1" applyBorder="1" applyAlignment="1">
      <alignment horizontal="center" vertical="top"/>
    </xf>
    <xf numFmtId="164" fontId="31" fillId="0" borderId="1" xfId="1" applyNumberFormat="1" applyFont="1" applyBorder="1"/>
    <xf numFmtId="49" fontId="1" fillId="0" borderId="0" xfId="0" applyNumberFormat="1" applyFont="1" applyFill="1" applyAlignment="1">
      <alignment horizontal="right"/>
    </xf>
    <xf numFmtId="49" fontId="3" fillId="0" borderId="0" xfId="0" applyNumberFormat="1" applyFont="1" applyFill="1" applyAlignment="1">
      <alignment horizontal="center"/>
    </xf>
    <xf numFmtId="164" fontId="23" fillId="0" borderId="0" xfId="1" applyNumberFormat="1" applyFont="1" applyAlignment="1">
      <alignment horizontal="right"/>
    </xf>
    <xf numFmtId="43" fontId="3" fillId="0" borderId="0" xfId="1" applyFont="1" applyFill="1"/>
    <xf numFmtId="43" fontId="3" fillId="0" borderId="10" xfId="1" applyNumberFormat="1" applyFont="1" applyBorder="1" applyAlignment="1">
      <alignment vertical="center"/>
    </xf>
    <xf numFmtId="164" fontId="3" fillId="0" borderId="0" xfId="1" applyNumberFormat="1" applyFont="1" applyBorder="1"/>
    <xf numFmtId="43" fontId="3" fillId="0" borderId="0" xfId="1" applyNumberFormat="1" applyFont="1" applyBorder="1"/>
    <xf numFmtId="0" fontId="30" fillId="0" borderId="0" xfId="0" applyFont="1" applyFill="1" applyAlignment="1"/>
    <xf numFmtId="0" fontId="30" fillId="0" borderId="0" xfId="0" applyFont="1" applyFill="1" applyAlignment="1">
      <alignment horizontal="right"/>
    </xf>
    <xf numFmtId="0" fontId="30" fillId="0" borderId="0" xfId="0" applyFont="1" applyFill="1"/>
    <xf numFmtId="169" fontId="30" fillId="0" borderId="0" xfId="0" applyNumberFormat="1" applyFont="1" applyFill="1" applyBorder="1" applyAlignment="1">
      <alignment horizontal="left"/>
    </xf>
    <xf numFmtId="169" fontId="30" fillId="0" borderId="0" xfId="0" applyNumberFormat="1" applyFont="1" applyFill="1" applyBorder="1" applyAlignment="1"/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8" fillId="0" borderId="0" xfId="0" applyFont="1" applyFill="1" applyBorder="1"/>
    <xf numFmtId="0" fontId="32" fillId="0" borderId="0" xfId="0" applyFont="1" applyFill="1" applyBorder="1" applyAlignment="1">
      <alignment horizontal="center"/>
    </xf>
    <xf numFmtId="0" fontId="32" fillId="0" borderId="4" xfId="0" applyFont="1" applyFill="1" applyBorder="1" applyAlignment="1">
      <alignment horizontal="center"/>
    </xf>
    <xf numFmtId="0" fontId="3" fillId="0" borderId="2" xfId="0" applyFont="1" applyFill="1" applyBorder="1"/>
    <xf numFmtId="0" fontId="8" fillId="0" borderId="2" xfId="0" applyFont="1" applyFill="1" applyBorder="1"/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4" xfId="0" applyFont="1" applyFill="1" applyBorder="1" applyAlignment="1">
      <alignment horizontal="center"/>
    </xf>
    <xf numFmtId="44" fontId="3" fillId="0" borderId="0" xfId="0" applyNumberFormat="1" applyFont="1" applyFill="1" applyBorder="1" applyAlignment="1">
      <alignment horizontal="center"/>
    </xf>
    <xf numFmtId="44" fontId="3" fillId="0" borderId="4" xfId="0" applyNumberFormat="1" applyFont="1" applyFill="1" applyBorder="1" applyAlignment="1">
      <alignment horizontal="center"/>
    </xf>
    <xf numFmtId="44" fontId="3" fillId="0" borderId="0" xfId="0" applyNumberFormat="1" applyFont="1" applyFill="1" applyBorder="1"/>
    <xf numFmtId="44" fontId="3" fillId="0" borderId="2" xfId="0" applyNumberFormat="1" applyFont="1" applyFill="1" applyBorder="1" applyAlignment="1">
      <alignment horizontal="center"/>
    </xf>
    <xf numFmtId="44" fontId="3" fillId="0" borderId="5" xfId="0" applyNumberFormat="1" applyFont="1" applyFill="1" applyBorder="1" applyAlignment="1">
      <alignment horizontal="center"/>
    </xf>
    <xf numFmtId="44" fontId="3" fillId="0" borderId="2" xfId="0" applyNumberFormat="1" applyFont="1" applyFill="1" applyBorder="1"/>
    <xf numFmtId="49" fontId="8" fillId="0" borderId="0" xfId="0" applyNumberFormat="1" applyFont="1" applyFill="1" applyAlignment="1">
      <alignment horizontal="center"/>
    </xf>
    <xf numFmtId="44" fontId="3" fillId="0" borderId="2" xfId="2" applyFont="1" applyFill="1" applyBorder="1"/>
    <xf numFmtId="44" fontId="3" fillId="0" borderId="5" xfId="2" applyFont="1" applyFill="1" applyBorder="1"/>
    <xf numFmtId="44" fontId="3" fillId="0" borderId="0" xfId="2" applyFont="1" applyFill="1"/>
    <xf numFmtId="44" fontId="3" fillId="0" borderId="6" xfId="2" applyFont="1" applyFill="1" applyBorder="1"/>
    <xf numFmtId="44" fontId="3" fillId="0" borderId="7" xfId="2" applyFont="1" applyFill="1" applyBorder="1"/>
    <xf numFmtId="0" fontId="3" fillId="0" borderId="7" xfId="2" applyNumberFormat="1" applyFont="1" applyFill="1" applyBorder="1" applyAlignment="1">
      <alignment horizontal="left"/>
    </xf>
    <xf numFmtId="0" fontId="3" fillId="0" borderId="2" xfId="0" applyFont="1" applyFill="1" applyBorder="1" applyAlignment="1">
      <alignment horizontal="left" indent="1"/>
    </xf>
    <xf numFmtId="0" fontId="0" fillId="0" borderId="2" xfId="0" applyFill="1" applyBorder="1"/>
    <xf numFmtId="44" fontId="3" fillId="0" borderId="4" xfId="2" applyFont="1" applyFill="1" applyBorder="1"/>
    <xf numFmtId="44" fontId="3" fillId="0" borderId="0" xfId="0" applyNumberFormat="1" applyFont="1" applyFill="1"/>
    <xf numFmtId="0" fontId="2" fillId="0" borderId="3" xfId="0" applyFont="1" applyFill="1" applyBorder="1" applyAlignment="1">
      <alignment horizontal="left" indent="1"/>
    </xf>
    <xf numFmtId="0" fontId="8" fillId="0" borderId="3" xfId="0" applyFont="1" applyFill="1" applyBorder="1"/>
    <xf numFmtId="44" fontId="2" fillId="0" borderId="3" xfId="0" applyNumberFormat="1" applyFont="1" applyFill="1" applyBorder="1"/>
    <xf numFmtId="44" fontId="2" fillId="0" borderId="8" xfId="0" applyNumberFormat="1" applyFont="1" applyFill="1" applyBorder="1"/>
    <xf numFmtId="0" fontId="3" fillId="0" borderId="0" xfId="0" applyFont="1" applyFill="1"/>
    <xf numFmtId="0" fontId="3" fillId="0" borderId="4" xfId="0" applyFont="1" applyFill="1" applyBorder="1"/>
    <xf numFmtId="0" fontId="3" fillId="0" borderId="7" xfId="0" applyFont="1" applyFill="1" applyBorder="1"/>
    <xf numFmtId="44" fontId="3" fillId="0" borderId="0" xfId="0" applyNumberFormat="1" applyFont="1" applyFill="1" applyAlignment="1">
      <alignment horizontal="center"/>
    </xf>
    <xf numFmtId="44" fontId="3" fillId="0" borderId="7" xfId="0" applyNumberFormat="1" applyFont="1" applyFill="1" applyBorder="1" applyAlignment="1">
      <alignment horizontal="left"/>
    </xf>
    <xf numFmtId="44" fontId="22" fillId="0" borderId="4" xfId="0" applyNumberFormat="1" applyFont="1" applyFill="1" applyBorder="1" applyAlignment="1">
      <alignment horizontal="center"/>
    </xf>
    <xf numFmtId="0" fontId="22" fillId="0" borderId="0" xfId="0" applyFont="1" applyFill="1" applyAlignment="1">
      <alignment horizontal="center"/>
    </xf>
    <xf numFmtId="49" fontId="32" fillId="0" borderId="0" xfId="0" applyNumberFormat="1" applyFont="1" applyFill="1" applyAlignment="1">
      <alignment horizontal="center"/>
    </xf>
    <xf numFmtId="49" fontId="32" fillId="0" borderId="4" xfId="0" applyNumberFormat="1" applyFont="1" applyFill="1" applyBorder="1" applyAlignment="1">
      <alignment horizontal="center"/>
    </xf>
    <xf numFmtId="44" fontId="3" fillId="0" borderId="4" xfId="0" applyNumberFormat="1" applyFont="1" applyFill="1" applyBorder="1"/>
    <xf numFmtId="44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22" fillId="0" borderId="9" xfId="0" applyFont="1" applyFill="1" applyBorder="1" applyAlignment="1">
      <alignment horizontal="center"/>
    </xf>
    <xf numFmtId="44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Fill="1" applyBorder="1"/>
    <xf numFmtId="44" fontId="3" fillId="0" borderId="0" xfId="2" applyFont="1" applyFill="1" applyBorder="1"/>
    <xf numFmtId="49" fontId="8" fillId="2" borderId="2" xfId="1" applyNumberFormat="1" applyFont="1" applyFill="1" applyBorder="1" applyAlignment="1">
      <alignment horizontal="left"/>
    </xf>
    <xf numFmtId="169" fontId="22" fillId="0" borderId="0" xfId="1" applyNumberFormat="1" applyFont="1" applyBorder="1" applyAlignment="1">
      <alignment horizontal="center"/>
    </xf>
    <xf numFmtId="164" fontId="35" fillId="0" borderId="0" xfId="1" applyNumberFormat="1" applyFont="1" applyAlignment="1">
      <alignment horizontal="center"/>
    </xf>
    <xf numFmtId="164" fontId="3" fillId="0" borderId="2" xfId="1" applyNumberFormat="1" applyFont="1" applyBorder="1" applyAlignment="1">
      <alignment horizontal="center" vertical="center"/>
    </xf>
    <xf numFmtId="49" fontId="30" fillId="0" borderId="0" xfId="1" applyNumberFormat="1" applyFont="1" applyAlignment="1">
      <alignment horizontal="right"/>
    </xf>
    <xf numFmtId="169" fontId="37" fillId="0" borderId="0" xfId="1" applyNumberFormat="1" applyFont="1" applyBorder="1" applyAlignment="1">
      <alignment horizontal="left"/>
    </xf>
    <xf numFmtId="164" fontId="30" fillId="0" borderId="0" xfId="1" applyNumberFormat="1" applyFont="1" applyBorder="1" applyAlignment="1">
      <alignment horizontal="center"/>
    </xf>
    <xf numFmtId="164" fontId="3" fillId="0" borderId="0" xfId="1" applyNumberFormat="1" applyFont="1" applyAlignment="1">
      <alignment horizontal="center"/>
    </xf>
    <xf numFmtId="164" fontId="15" fillId="0" borderId="0" xfId="1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169" fontId="4" fillId="0" borderId="0" xfId="0" applyNumberFormat="1" applyFont="1" applyAlignment="1">
      <alignment horizontal="center" vertical="center" wrapText="1"/>
    </xf>
    <xf numFmtId="164" fontId="6" fillId="0" borderId="0" xfId="1" applyNumberFormat="1" applyFont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164" fontId="7" fillId="0" borderId="0" xfId="1" applyNumberFormat="1" applyFont="1" applyAlignment="1">
      <alignment horizontal="left"/>
    </xf>
    <xf numFmtId="0" fontId="0" fillId="0" borderId="2" xfId="0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Program%20Files/Microsoft%20Office/Office14/Library/GSI_SSJDE.xla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Documents%20and%20Settings/sarah.volk/Application%20Data/Microsoft/Excel/11-2010%20Core%20Billed%20Ther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GSI_SSJDE"/>
    </sheetNames>
    <definedNames>
      <definedName name="ssgxa4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 Billed Therms "/>
      <sheetName val="Bill Freq Sum"/>
    </sheetNames>
    <sheetDataSet>
      <sheetData sheetId="0">
        <row r="12">
          <cell r="J12">
            <v>0</v>
          </cell>
        </row>
        <row r="88">
          <cell r="J88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63"/>
  <sheetViews>
    <sheetView showGridLines="0" zoomScale="90" zoomScaleNormal="90" zoomScaleSheetLayoutView="100" workbookViewId="0">
      <pane xSplit="5" topLeftCell="F1" activePane="topRight" state="frozen"/>
      <selection pane="topRight" activeCell="P50" sqref="P50"/>
    </sheetView>
  </sheetViews>
  <sheetFormatPr defaultRowHeight="14.1" customHeight="1" x14ac:dyDescent="0.25"/>
  <cols>
    <col min="1" max="1" width="2.7109375" style="102" customWidth="1"/>
    <col min="2" max="2" width="5.5703125" style="102" customWidth="1"/>
    <col min="3" max="3" width="6.42578125" style="102" customWidth="1"/>
    <col min="4" max="4" width="7.5703125" style="108" customWidth="1"/>
    <col min="5" max="5" width="29.5703125" style="82" customWidth="1"/>
    <col min="6" max="6" width="11.140625" style="82" bestFit="1" customWidth="1"/>
    <col min="7" max="7" width="14.5703125" style="98" bestFit="1" customWidth="1"/>
    <col min="8" max="8" width="2.7109375" style="82" customWidth="1"/>
    <col min="9" max="9" width="12.7109375" style="82" bestFit="1" customWidth="1"/>
    <col min="10" max="10" width="20.85546875" style="98" bestFit="1" customWidth="1"/>
    <col min="11" max="11" width="2.7109375" style="82" customWidth="1"/>
    <col min="12" max="12" width="13.42578125" style="82" bestFit="1" customWidth="1"/>
    <col min="13" max="13" width="20.85546875" style="98" bestFit="1" customWidth="1"/>
    <col min="14" max="14" width="3" style="82" customWidth="1"/>
    <col min="15" max="15" width="12.85546875" style="82" bestFit="1" customWidth="1"/>
    <col min="16" max="16" width="20.85546875" style="82" bestFit="1" customWidth="1"/>
    <col min="17" max="17" width="3.7109375" style="82" customWidth="1"/>
    <col min="18" max="18" width="12.85546875" style="82" bestFit="1" customWidth="1"/>
    <col min="19" max="19" width="15.7109375" style="82" bestFit="1" customWidth="1"/>
    <col min="20" max="20" width="3.5703125" style="82" customWidth="1"/>
    <col min="21" max="21" width="9.5703125" style="82" bestFit="1" customWidth="1"/>
    <col min="22" max="22" width="16.85546875" style="82" bestFit="1" customWidth="1"/>
    <col min="23" max="23" width="1.7109375" style="82" hidden="1" customWidth="1"/>
    <col min="24" max="24" width="10" style="82" bestFit="1" customWidth="1"/>
    <col min="25" max="25" width="14.7109375" style="82" bestFit="1" customWidth="1"/>
    <col min="26" max="26" width="1.7109375" style="82" hidden="1" customWidth="1"/>
    <col min="27" max="28" width="15.7109375" style="82" hidden="1" customWidth="1"/>
    <col min="29" max="29" width="2.140625" style="82" customWidth="1"/>
    <col min="30" max="30" width="11.42578125" style="82" bestFit="1" customWidth="1"/>
    <col min="31" max="31" width="10.7109375" style="82" bestFit="1" customWidth="1"/>
    <col min="32" max="32" width="13.7109375" style="82" bestFit="1" customWidth="1"/>
    <col min="33" max="16384" width="9.140625" style="82"/>
  </cols>
  <sheetData>
    <row r="1" spans="1:32" ht="14.1" customHeight="1" x14ac:dyDescent="0.25">
      <c r="A1" s="94"/>
      <c r="B1" s="95" t="s">
        <v>136</v>
      </c>
      <c r="C1" s="96"/>
      <c r="D1" s="96"/>
      <c r="E1" s="96"/>
      <c r="F1" s="97"/>
      <c r="H1" s="99"/>
      <c r="J1" s="100"/>
      <c r="N1" s="99"/>
      <c r="O1" s="93"/>
      <c r="P1" s="101"/>
      <c r="Q1" s="93"/>
      <c r="R1" s="93"/>
      <c r="S1" s="93"/>
      <c r="T1" s="99"/>
      <c r="V1" s="308">
        <f>D2-31</f>
        <v>42824</v>
      </c>
      <c r="W1" s="308"/>
      <c r="X1" s="308"/>
    </row>
    <row r="2" spans="1:32" ht="15" customHeight="1" x14ac:dyDescent="0.25">
      <c r="A2" s="311" t="s">
        <v>137</v>
      </c>
      <c r="B2" s="311"/>
      <c r="C2" s="311"/>
      <c r="D2" s="312">
        <v>42855</v>
      </c>
      <c r="E2" s="312"/>
      <c r="F2" s="313" t="s">
        <v>98</v>
      </c>
      <c r="G2" s="313"/>
      <c r="H2" s="99"/>
      <c r="I2" s="314" t="s">
        <v>138</v>
      </c>
      <c r="J2" s="314"/>
      <c r="K2" s="314"/>
      <c r="L2" s="314"/>
      <c r="M2" s="314"/>
      <c r="N2" s="99"/>
      <c r="O2" s="315" t="s">
        <v>139</v>
      </c>
      <c r="P2" s="315"/>
      <c r="Q2" s="315"/>
      <c r="R2" s="315"/>
      <c r="S2" s="315"/>
      <c r="T2" s="99"/>
      <c r="V2" s="315" t="s">
        <v>140</v>
      </c>
      <c r="W2" s="315"/>
      <c r="X2" s="315"/>
    </row>
    <row r="3" spans="1:32" ht="15" x14ac:dyDescent="0.25">
      <c r="D3" s="103"/>
      <c r="G3" s="104"/>
      <c r="H3" s="99"/>
      <c r="J3" s="100"/>
      <c r="N3" s="99"/>
      <c r="T3" s="105"/>
      <c r="V3" s="308">
        <f>D2</f>
        <v>42855</v>
      </c>
      <c r="W3" s="308"/>
      <c r="X3" s="308"/>
      <c r="Y3" s="106"/>
      <c r="AA3" s="309" t="s">
        <v>141</v>
      </c>
      <c r="AB3" s="309"/>
      <c r="AC3" s="107"/>
    </row>
    <row r="4" spans="1:32" ht="16.5" customHeight="1" x14ac:dyDescent="0.25">
      <c r="E4" s="109" t="s">
        <v>142</v>
      </c>
      <c r="H4" s="99"/>
      <c r="I4" s="310" t="s">
        <v>143</v>
      </c>
      <c r="J4" s="310"/>
      <c r="K4" s="110"/>
      <c r="L4" s="310" t="s">
        <v>144</v>
      </c>
      <c r="M4" s="310"/>
      <c r="N4" s="111"/>
      <c r="O4" s="310" t="s">
        <v>143</v>
      </c>
      <c r="P4" s="310"/>
      <c r="Q4" s="110"/>
      <c r="R4" s="310" t="s">
        <v>144</v>
      </c>
      <c r="S4" s="310"/>
      <c r="T4" s="111"/>
      <c r="U4" s="310" t="s">
        <v>143</v>
      </c>
      <c r="V4" s="310"/>
      <c r="W4" s="110"/>
      <c r="X4" s="310" t="s">
        <v>144</v>
      </c>
      <c r="Y4" s="310"/>
      <c r="AA4" s="112" t="s">
        <v>104</v>
      </c>
      <c r="AB4" s="112" t="s">
        <v>108</v>
      </c>
      <c r="AC4" s="112"/>
    </row>
    <row r="5" spans="1:32" s="58" customFormat="1" ht="15.75" customHeight="1" x14ac:dyDescent="0.2">
      <c r="A5" s="307" t="s">
        <v>145</v>
      </c>
      <c r="B5" s="307"/>
      <c r="C5" s="307"/>
      <c r="D5" s="307"/>
      <c r="E5" s="113"/>
      <c r="F5" s="114" t="s">
        <v>129</v>
      </c>
      <c r="G5" s="115" t="s">
        <v>146</v>
      </c>
      <c r="H5" s="99"/>
      <c r="I5" s="116" t="s">
        <v>129</v>
      </c>
      <c r="J5" s="117" t="s">
        <v>146</v>
      </c>
      <c r="K5" s="118"/>
      <c r="L5" s="116" t="s">
        <v>129</v>
      </c>
      <c r="M5" s="117" t="s">
        <v>146</v>
      </c>
      <c r="N5" s="99"/>
      <c r="O5" s="114" t="s">
        <v>129</v>
      </c>
      <c r="P5" s="115" t="s">
        <v>146</v>
      </c>
      <c r="Q5" s="118"/>
      <c r="R5" s="116" t="s">
        <v>129</v>
      </c>
      <c r="S5" s="117" t="s">
        <v>146</v>
      </c>
      <c r="T5" s="99"/>
      <c r="U5" s="116" t="s">
        <v>147</v>
      </c>
      <c r="V5" s="119" t="s">
        <v>146</v>
      </c>
      <c r="W5" s="118"/>
      <c r="X5" s="120" t="s">
        <v>147</v>
      </c>
      <c r="Y5" s="119" t="s">
        <v>146</v>
      </c>
      <c r="AA5" s="121" t="s">
        <v>146</v>
      </c>
      <c r="AB5" s="121" t="s">
        <v>146</v>
      </c>
      <c r="AC5" s="121"/>
    </row>
    <row r="6" spans="1:32" ht="14.25" customHeight="1" x14ac:dyDescent="0.25">
      <c r="A6" s="122" t="s">
        <v>148</v>
      </c>
      <c r="B6" s="123">
        <v>6011</v>
      </c>
      <c r="C6" s="123">
        <v>28040</v>
      </c>
      <c r="D6" s="124">
        <v>671010</v>
      </c>
      <c r="E6" s="58" t="s">
        <v>149</v>
      </c>
      <c r="F6" s="125" t="s">
        <v>150</v>
      </c>
      <c r="G6" s="126">
        <f>J6+M6</f>
        <v>342142.5</v>
      </c>
      <c r="H6" s="99"/>
      <c r="I6" s="127"/>
      <c r="J6" s="128">
        <f>+P6+V6</f>
        <v>41193.96</v>
      </c>
      <c r="K6" s="129" t="s">
        <v>151</v>
      </c>
      <c r="L6" s="127"/>
      <c r="M6" s="128">
        <f>+S6+Y6</f>
        <v>300948.53999999998</v>
      </c>
      <c r="N6" s="99" t="s">
        <v>151</v>
      </c>
      <c r="O6" s="127"/>
      <c r="P6" s="130">
        <v>41193.96</v>
      </c>
      <c r="Q6" s="58"/>
      <c r="R6" s="127"/>
      <c r="S6" s="130">
        <v>300948.53999999998</v>
      </c>
      <c r="T6" s="99"/>
      <c r="U6" s="131"/>
      <c r="V6" s="132"/>
      <c r="X6" s="97"/>
      <c r="Y6" s="132"/>
      <c r="AD6" s="133">
        <v>671010</v>
      </c>
    </row>
    <row r="7" spans="1:32" ht="14.25" customHeight="1" x14ac:dyDescent="0.25">
      <c r="A7" s="122" t="s">
        <v>148</v>
      </c>
      <c r="B7" s="123">
        <v>6011</v>
      </c>
      <c r="C7" s="123">
        <v>28040</v>
      </c>
      <c r="D7" s="124">
        <v>671030</v>
      </c>
      <c r="E7" s="58" t="s">
        <v>152</v>
      </c>
      <c r="F7" s="125" t="s">
        <v>150</v>
      </c>
      <c r="G7" s="126">
        <f t="shared" ref="G7:G13" si="0">+J7+M7</f>
        <v>320526.58999999997</v>
      </c>
      <c r="H7" s="99"/>
      <c r="I7" s="127"/>
      <c r="J7" s="128">
        <f>+P7+V7</f>
        <v>168043.78</v>
      </c>
      <c r="K7" s="129" t="s">
        <v>151</v>
      </c>
      <c r="L7" s="127"/>
      <c r="M7" s="128">
        <f>+S7+Y7</f>
        <v>152482.81</v>
      </c>
      <c r="N7" s="99" t="s">
        <v>151</v>
      </c>
      <c r="O7" s="127"/>
      <c r="P7" s="130">
        <v>164557.79</v>
      </c>
      <c r="Q7" s="58"/>
      <c r="R7" s="127"/>
      <c r="S7" s="130">
        <v>152488.16</v>
      </c>
      <c r="T7" s="99"/>
      <c r="U7" s="131"/>
      <c r="V7" s="130">
        <v>3485.99</v>
      </c>
      <c r="X7" s="97"/>
      <c r="Y7" s="130">
        <v>-5.35</v>
      </c>
      <c r="AD7" s="133">
        <v>671030</v>
      </c>
    </row>
    <row r="8" spans="1:32" ht="14.25" customHeight="1" x14ac:dyDescent="0.25">
      <c r="A8" s="122" t="s">
        <v>148</v>
      </c>
      <c r="B8" s="123">
        <v>6011</v>
      </c>
      <c r="C8" s="123">
        <v>28040</v>
      </c>
      <c r="D8" s="124">
        <v>671050</v>
      </c>
      <c r="E8" s="58" t="s">
        <v>153</v>
      </c>
      <c r="F8" s="134">
        <f t="shared" ref="F8:F14" si="1">+I8+L8</f>
        <v>26833080</v>
      </c>
      <c r="G8" s="126">
        <f t="shared" si="0"/>
        <v>7382831</v>
      </c>
      <c r="H8" s="99"/>
      <c r="I8" s="135">
        <f>+O8+U8</f>
        <v>20206708</v>
      </c>
      <c r="J8" s="136">
        <f>+P8+V8</f>
        <v>5668431.1899999995</v>
      </c>
      <c r="K8" s="129" t="s">
        <v>154</v>
      </c>
      <c r="L8" s="58">
        <f>+R8+X8</f>
        <v>6626372</v>
      </c>
      <c r="M8" s="137">
        <f>+S8+Y8</f>
        <v>1714399.81</v>
      </c>
      <c r="N8" s="99" t="s">
        <v>154</v>
      </c>
      <c r="O8" s="138">
        <v>20204360</v>
      </c>
      <c r="P8" s="139">
        <v>5667777.0599999996</v>
      </c>
      <c r="Q8" s="58"/>
      <c r="R8" s="138">
        <v>6628720</v>
      </c>
      <c r="S8" s="139">
        <v>1715053.94</v>
      </c>
      <c r="T8" s="99"/>
      <c r="U8" s="140">
        <v>2348</v>
      </c>
      <c r="V8" s="139">
        <v>654.13</v>
      </c>
      <c r="W8" s="141"/>
      <c r="X8" s="142">
        <v>-2348</v>
      </c>
      <c r="Y8" s="139">
        <v>-654.13</v>
      </c>
      <c r="AA8" s="143">
        <v>0</v>
      </c>
      <c r="AB8" s="143">
        <v>0</v>
      </c>
      <c r="AD8" s="144">
        <v>671050</v>
      </c>
    </row>
    <row r="9" spans="1:32" ht="14.25" customHeight="1" x14ac:dyDescent="0.25">
      <c r="A9" s="122" t="s">
        <v>148</v>
      </c>
      <c r="B9" s="123">
        <v>6011</v>
      </c>
      <c r="C9" s="123">
        <v>28040</v>
      </c>
      <c r="D9" s="124">
        <v>671051</v>
      </c>
      <c r="E9" s="58" t="s">
        <v>155</v>
      </c>
      <c r="F9" s="125" t="s">
        <v>150</v>
      </c>
      <c r="G9" s="126">
        <f t="shared" si="0"/>
        <v>0</v>
      </c>
      <c r="H9" s="99"/>
      <c r="I9" s="145"/>
      <c r="J9" s="137">
        <f t="shared" ref="I9:J14" si="2">+P9+V9</f>
        <v>0</v>
      </c>
      <c r="K9" s="129" t="s">
        <v>154</v>
      </c>
      <c r="L9" s="146"/>
      <c r="M9" s="137">
        <f>+S9+Y9</f>
        <v>0</v>
      </c>
      <c r="N9" s="99" t="s">
        <v>154</v>
      </c>
      <c r="O9" s="127"/>
      <c r="P9" s="147"/>
      <c r="Q9" s="58"/>
      <c r="R9" s="127"/>
      <c r="S9" s="147"/>
      <c r="T9" s="99"/>
      <c r="U9" s="148"/>
      <c r="V9" s="147"/>
      <c r="W9" s="97"/>
      <c r="X9" s="149"/>
      <c r="Y9" s="147"/>
      <c r="AD9" s="144">
        <v>671051</v>
      </c>
    </row>
    <row r="10" spans="1:32" ht="14.25" customHeight="1" x14ac:dyDescent="0.25">
      <c r="A10" s="122" t="s">
        <v>148</v>
      </c>
      <c r="B10" s="123">
        <v>6011</v>
      </c>
      <c r="C10" s="123">
        <v>28040</v>
      </c>
      <c r="D10" s="124">
        <v>671070</v>
      </c>
      <c r="E10" s="58" t="s">
        <v>156</v>
      </c>
      <c r="F10" s="134">
        <f t="shared" si="1"/>
        <v>-1591770</v>
      </c>
      <c r="G10" s="126">
        <f>+J10+M10</f>
        <v>-438340.33999999997</v>
      </c>
      <c r="H10" s="99"/>
      <c r="I10" s="135">
        <f t="shared" si="2"/>
        <v>-1205292</v>
      </c>
      <c r="J10" s="137">
        <f t="shared" si="2"/>
        <v>-331868.09999999998</v>
      </c>
      <c r="K10" s="129" t="s">
        <v>154</v>
      </c>
      <c r="L10" s="58">
        <f>+R10+X10</f>
        <v>-386478</v>
      </c>
      <c r="M10" s="137">
        <f>+S10+Y10</f>
        <v>-106472.23999999999</v>
      </c>
      <c r="N10" s="150" t="s">
        <v>154</v>
      </c>
      <c r="O10" s="138">
        <f>+-794932-410360</f>
        <v>-1205292</v>
      </c>
      <c r="P10" s="151">
        <f>+-214170.07-117698.03</f>
        <v>-331868.09999999998</v>
      </c>
      <c r="Q10" s="58"/>
      <c r="R10" s="138">
        <f>+-251538-134940</f>
        <v>-386478</v>
      </c>
      <c r="S10" s="139">
        <f>+-67769.2-38703.04</f>
        <v>-106472.23999999999</v>
      </c>
      <c r="T10" s="99"/>
      <c r="U10" s="148"/>
      <c r="V10" s="147"/>
      <c r="W10" s="97">
        <v>0</v>
      </c>
      <c r="X10" s="149"/>
      <c r="Y10" s="147"/>
      <c r="AD10" s="144">
        <v>671070</v>
      </c>
    </row>
    <row r="11" spans="1:32" ht="14.25" customHeight="1" x14ac:dyDescent="0.25">
      <c r="A11" s="152" t="s">
        <v>148</v>
      </c>
      <c r="B11" s="153">
        <v>6011</v>
      </c>
      <c r="C11" s="153">
        <v>28081</v>
      </c>
      <c r="D11" s="154">
        <v>671050</v>
      </c>
      <c r="E11" s="155" t="s">
        <v>157</v>
      </c>
      <c r="F11" s="134">
        <f t="shared" si="1"/>
        <v>0</v>
      </c>
      <c r="G11" s="126">
        <f t="shared" si="0"/>
        <v>-2.4899999999999998</v>
      </c>
      <c r="H11" s="99"/>
      <c r="I11" s="135">
        <f t="shared" si="2"/>
        <v>0</v>
      </c>
      <c r="J11" s="137">
        <f t="shared" si="2"/>
        <v>-2.19</v>
      </c>
      <c r="K11" s="129" t="s">
        <v>154</v>
      </c>
      <c r="L11" s="58">
        <f t="shared" ref="L11:M14" si="3">+R11+X11</f>
        <v>0</v>
      </c>
      <c r="M11" s="137">
        <f t="shared" si="3"/>
        <v>-0.3</v>
      </c>
      <c r="N11" s="99" t="s">
        <v>154</v>
      </c>
      <c r="O11" s="156"/>
      <c r="P11" s="157"/>
      <c r="Q11" s="134">
        <v>-1</v>
      </c>
      <c r="R11" s="156"/>
      <c r="S11" s="157"/>
      <c r="T11" s="158">
        <v>-4</v>
      </c>
      <c r="U11" s="148"/>
      <c r="V11" s="139">
        <v>-2.19</v>
      </c>
      <c r="W11" s="97"/>
      <c r="X11" s="149"/>
      <c r="Y11" s="139">
        <v>-0.3</v>
      </c>
      <c r="AD11" s="154">
        <v>671050</v>
      </c>
      <c r="AE11" s="141"/>
    </row>
    <row r="12" spans="1:32" ht="14.25" customHeight="1" x14ac:dyDescent="0.25">
      <c r="A12" s="152" t="s">
        <v>148</v>
      </c>
      <c r="B12" s="153">
        <v>6011</v>
      </c>
      <c r="C12" s="153">
        <v>28082</v>
      </c>
      <c r="D12" s="154">
        <v>671050</v>
      </c>
      <c r="E12" s="155" t="s">
        <v>158</v>
      </c>
      <c r="F12" s="134">
        <f t="shared" si="1"/>
        <v>0</v>
      </c>
      <c r="G12" s="126">
        <f t="shared" si="0"/>
        <v>0</v>
      </c>
      <c r="H12" s="99"/>
      <c r="I12" s="135">
        <f t="shared" si="2"/>
        <v>0</v>
      </c>
      <c r="J12" s="137">
        <f t="shared" si="2"/>
        <v>0</v>
      </c>
      <c r="K12" s="129" t="s">
        <v>154</v>
      </c>
      <c r="L12" s="48">
        <f t="shared" si="3"/>
        <v>0</v>
      </c>
      <c r="M12" s="137">
        <f t="shared" si="3"/>
        <v>0</v>
      </c>
      <c r="N12" s="99" t="s">
        <v>154</v>
      </c>
      <c r="O12" s="156">
        <v>0</v>
      </c>
      <c r="P12" s="157">
        <v>0</v>
      </c>
      <c r="Q12" s="134">
        <v>-2</v>
      </c>
      <c r="R12" s="159"/>
      <c r="S12" s="157"/>
      <c r="T12" s="158"/>
      <c r="U12" s="160"/>
      <c r="V12" s="147"/>
      <c r="W12" s="97"/>
      <c r="X12" s="149"/>
      <c r="Y12" s="147"/>
      <c r="AD12" s="154">
        <v>671050</v>
      </c>
      <c r="AE12" s="141"/>
      <c r="AF12" s="138"/>
    </row>
    <row r="13" spans="1:32" ht="14.25" customHeight="1" x14ac:dyDescent="0.25">
      <c r="A13" s="152" t="s">
        <v>148</v>
      </c>
      <c r="B13" s="153">
        <v>6011</v>
      </c>
      <c r="C13" s="153">
        <v>28120</v>
      </c>
      <c r="D13" s="154">
        <v>671070</v>
      </c>
      <c r="E13" s="155" t="s">
        <v>159</v>
      </c>
      <c r="F13" s="134">
        <f t="shared" si="1"/>
        <v>-31832</v>
      </c>
      <c r="G13" s="126">
        <f t="shared" si="0"/>
        <v>-9565.74</v>
      </c>
      <c r="H13" s="99"/>
      <c r="I13" s="135">
        <f t="shared" si="2"/>
        <v>-27835</v>
      </c>
      <c r="J13" s="137">
        <f>+P13+V13</f>
        <v>-8528.6299999999992</v>
      </c>
      <c r="K13" s="129" t="s">
        <v>154</v>
      </c>
      <c r="L13" s="58">
        <f t="shared" si="3"/>
        <v>-3997</v>
      </c>
      <c r="M13" s="137">
        <f t="shared" si="3"/>
        <v>-1037.1099999999999</v>
      </c>
      <c r="N13" s="99" t="s">
        <v>154</v>
      </c>
      <c r="O13" s="138">
        <v>-27835</v>
      </c>
      <c r="P13" s="161">
        <v>-8528.6299999999992</v>
      </c>
      <c r="Q13" s="134">
        <v>-3</v>
      </c>
      <c r="R13" s="162">
        <v>-3997</v>
      </c>
      <c r="S13" s="161">
        <v>-1037.1099999999999</v>
      </c>
      <c r="T13" s="158">
        <v>-5</v>
      </c>
      <c r="U13" s="148"/>
      <c r="V13" s="147"/>
      <c r="W13" s="97"/>
      <c r="X13" s="149"/>
      <c r="Y13" s="147"/>
      <c r="AD13" s="154">
        <v>671070</v>
      </c>
    </row>
    <row r="14" spans="1:32" ht="14.25" customHeight="1" x14ac:dyDescent="0.25">
      <c r="A14" s="122" t="s">
        <v>148</v>
      </c>
      <c r="B14" s="123">
        <v>6011</v>
      </c>
      <c r="C14" s="123">
        <v>28040</v>
      </c>
      <c r="D14" s="124">
        <v>671100</v>
      </c>
      <c r="E14" s="58" t="s">
        <v>160</v>
      </c>
      <c r="F14" s="134">
        <f t="shared" si="1"/>
        <v>0</v>
      </c>
      <c r="G14" s="126">
        <f>+J14+M14</f>
        <v>0</v>
      </c>
      <c r="H14" s="99"/>
      <c r="I14" s="135">
        <f>+O14+U14</f>
        <v>0</v>
      </c>
      <c r="J14" s="137">
        <f t="shared" si="2"/>
        <v>0</v>
      </c>
      <c r="K14" s="129" t="s">
        <v>154</v>
      </c>
      <c r="L14" s="163">
        <f t="shared" si="3"/>
        <v>0</v>
      </c>
      <c r="M14" s="164">
        <f t="shared" si="3"/>
        <v>0</v>
      </c>
      <c r="N14" s="99" t="s">
        <v>154</v>
      </c>
      <c r="O14" s="165"/>
      <c r="P14" s="166"/>
      <c r="Q14" s="58"/>
      <c r="R14" s="165"/>
      <c r="S14" s="147"/>
      <c r="T14" s="99"/>
      <c r="U14" s="148"/>
      <c r="V14" s="147"/>
      <c r="W14" s="97"/>
      <c r="X14" s="149"/>
      <c r="Y14" s="167"/>
      <c r="AD14" s="144">
        <v>671100</v>
      </c>
    </row>
    <row r="15" spans="1:32" ht="14.25" customHeight="1" x14ac:dyDescent="0.25">
      <c r="A15" s="122"/>
      <c r="B15" s="168"/>
      <c r="C15" s="168"/>
      <c r="D15" s="169"/>
      <c r="E15" s="170" t="s">
        <v>161</v>
      </c>
      <c r="F15" s="171">
        <f>SUM(F6:F14)</f>
        <v>25209478</v>
      </c>
      <c r="G15" s="172">
        <f>SUM(G6:G14)</f>
        <v>7597591.5199999996</v>
      </c>
      <c r="H15" s="99"/>
      <c r="I15" s="173">
        <f>SUM(I6:I14)</f>
        <v>18973581</v>
      </c>
      <c r="J15" s="89">
        <f>SUM(J6:J14)</f>
        <v>5537270.0099999998</v>
      </c>
      <c r="K15" s="129"/>
      <c r="L15" s="58">
        <f>SUM(L6:L14)</f>
        <v>6235897</v>
      </c>
      <c r="M15" s="91">
        <f>SUM(M6:M14)</f>
        <v>2060321.51</v>
      </c>
      <c r="N15" s="99"/>
      <c r="O15" s="58">
        <f>SUM(O6:O14)</f>
        <v>18971233</v>
      </c>
      <c r="P15" s="174">
        <f>SUM(P6:P14)</f>
        <v>5533132.0800000001</v>
      </c>
      <c r="Q15" s="58"/>
      <c r="R15" s="58">
        <f>SUM(R6:R14)</f>
        <v>6238245</v>
      </c>
      <c r="S15" s="174">
        <f>SUM(S6:S14)</f>
        <v>2060981.2899999996</v>
      </c>
      <c r="T15" s="99"/>
      <c r="U15" s="175">
        <f>+SUM(U6:U14)</f>
        <v>2348</v>
      </c>
      <c r="V15" s="174">
        <f>SUM(V6:V14)</f>
        <v>4137.93</v>
      </c>
      <c r="W15" s="97"/>
      <c r="X15" s="175">
        <f>SUM(X6:X14)</f>
        <v>-2348</v>
      </c>
      <c r="Y15" s="174">
        <f>SUM(Y6:Y14)</f>
        <v>-659.78</v>
      </c>
      <c r="AA15" s="176">
        <f>SUM(AA6:AA14)</f>
        <v>0</v>
      </c>
      <c r="AB15" s="176">
        <f>SUM(AB6:AB14)</f>
        <v>0</v>
      </c>
      <c r="AC15" s="176"/>
      <c r="AD15" s="169"/>
    </row>
    <row r="16" spans="1:32" ht="14.25" customHeight="1" x14ac:dyDescent="0.25">
      <c r="A16" s="122"/>
      <c r="B16" s="168"/>
      <c r="C16" s="168"/>
      <c r="D16" s="169"/>
      <c r="F16" s="171"/>
      <c r="G16" s="177"/>
      <c r="H16" s="99"/>
      <c r="I16" s="171"/>
      <c r="J16" s="177"/>
      <c r="K16" s="178"/>
      <c r="L16" s="171"/>
      <c r="M16" s="179"/>
      <c r="N16" s="99"/>
      <c r="O16" s="173"/>
      <c r="P16" s="53"/>
      <c r="Q16" s="58"/>
      <c r="R16" s="173"/>
      <c r="S16" s="53"/>
      <c r="T16" s="99"/>
      <c r="U16" s="180"/>
      <c r="V16" s="53"/>
      <c r="W16" s="97"/>
      <c r="X16" s="97"/>
      <c r="Y16" s="53"/>
      <c r="AD16" s="169"/>
    </row>
    <row r="17" spans="1:32" ht="14.25" customHeight="1" x14ac:dyDescent="0.25">
      <c r="A17" s="122" t="s">
        <v>148</v>
      </c>
      <c r="B17" s="123">
        <v>6011</v>
      </c>
      <c r="C17" s="123">
        <v>28040</v>
      </c>
      <c r="D17" s="124">
        <v>672010</v>
      </c>
      <c r="E17" s="58" t="s">
        <v>162</v>
      </c>
      <c r="F17" s="125"/>
      <c r="G17" s="126">
        <f>J17+M17</f>
        <v>4030618.71</v>
      </c>
      <c r="H17" s="99"/>
      <c r="I17" s="181"/>
      <c r="J17" s="128">
        <f>+P17+V17</f>
        <v>3292651.7199999997</v>
      </c>
      <c r="K17" s="129" t="s">
        <v>151</v>
      </c>
      <c r="L17" s="127"/>
      <c r="M17" s="128">
        <f>+S17+Y17</f>
        <v>737966.99</v>
      </c>
      <c r="N17" s="99" t="s">
        <v>151</v>
      </c>
      <c r="O17" s="127"/>
      <c r="P17" s="132">
        <f>137859.61+3154792.11</f>
        <v>3292651.7199999997</v>
      </c>
      <c r="Q17" s="58"/>
      <c r="R17" s="127"/>
      <c r="S17" s="130">
        <f>310286.93+427680.06</f>
        <v>737966.99</v>
      </c>
      <c r="T17" s="99"/>
      <c r="U17" s="182"/>
      <c r="V17" s="130"/>
      <c r="W17" s="183"/>
      <c r="X17" s="184"/>
      <c r="Y17" s="185"/>
      <c r="AD17" s="133">
        <v>672010</v>
      </c>
    </row>
    <row r="18" spans="1:32" ht="14.25" customHeight="1" x14ac:dyDescent="0.25">
      <c r="A18" s="122" t="s">
        <v>148</v>
      </c>
      <c r="B18" s="123">
        <v>6011</v>
      </c>
      <c r="C18" s="123">
        <v>28040</v>
      </c>
      <c r="D18" s="124">
        <v>672020</v>
      </c>
      <c r="E18" s="58" t="s">
        <v>163</v>
      </c>
      <c r="F18" s="125"/>
      <c r="G18" s="126">
        <f>J18+M18</f>
        <v>102545.60999999999</v>
      </c>
      <c r="H18" s="99"/>
      <c r="I18" s="181"/>
      <c r="J18" s="137">
        <f>+P18+V18</f>
        <v>104657.73999999999</v>
      </c>
      <c r="K18" s="129" t="s">
        <v>154</v>
      </c>
      <c r="L18" s="127"/>
      <c r="M18" s="137">
        <f>+S18+Y18</f>
        <v>-2112.1299999999992</v>
      </c>
      <c r="N18" s="99" t="s">
        <v>154</v>
      </c>
      <c r="O18" s="127"/>
      <c r="P18" s="139">
        <v>95097.23</v>
      </c>
      <c r="Q18" s="58"/>
      <c r="R18" s="127"/>
      <c r="S18" s="139">
        <v>12788.77</v>
      </c>
      <c r="T18" s="99"/>
      <c r="U18" s="182"/>
      <c r="V18" s="139">
        <v>9560.51</v>
      </c>
      <c r="W18" s="183"/>
      <c r="X18" s="184"/>
      <c r="Y18" s="139">
        <v>-14900.9</v>
      </c>
      <c r="AD18" s="144">
        <v>672020</v>
      </c>
      <c r="AE18" s="186"/>
    </row>
    <row r="19" spans="1:32" ht="14.25" customHeight="1" x14ac:dyDescent="0.25">
      <c r="A19" s="122" t="s">
        <v>148</v>
      </c>
      <c r="B19" s="123">
        <v>6011</v>
      </c>
      <c r="C19" s="123">
        <v>28040</v>
      </c>
      <c r="D19" s="124">
        <v>672030</v>
      </c>
      <c r="E19" s="58" t="s">
        <v>164</v>
      </c>
      <c r="F19" s="125"/>
      <c r="G19" s="126">
        <f>J19+M19</f>
        <v>0</v>
      </c>
      <c r="H19" s="99"/>
      <c r="I19" s="181"/>
      <c r="J19" s="128">
        <f>+P19+V19</f>
        <v>0</v>
      </c>
      <c r="K19" s="129" t="s">
        <v>151</v>
      </c>
      <c r="L19" s="127"/>
      <c r="M19" s="128">
        <f>+S19+Y19</f>
        <v>0</v>
      </c>
      <c r="N19" s="99" t="s">
        <v>151</v>
      </c>
      <c r="O19" s="127"/>
      <c r="P19" s="130"/>
      <c r="Q19" s="58"/>
      <c r="R19" s="127"/>
      <c r="S19" s="130"/>
      <c r="T19" s="99"/>
      <c r="U19" s="182"/>
      <c r="V19" s="130"/>
      <c r="W19" s="183"/>
      <c r="X19" s="184"/>
      <c r="Y19" s="130"/>
      <c r="AD19" s="133">
        <v>672030</v>
      </c>
      <c r="AE19" s="186"/>
    </row>
    <row r="20" spans="1:32" ht="14.25" customHeight="1" x14ac:dyDescent="0.25">
      <c r="A20" s="122" t="s">
        <v>148</v>
      </c>
      <c r="B20" s="123">
        <v>6011</v>
      </c>
      <c r="C20" s="123">
        <v>28040</v>
      </c>
      <c r="D20" s="124">
        <v>672040</v>
      </c>
      <c r="E20" s="58" t="s">
        <v>165</v>
      </c>
      <c r="F20" s="125"/>
      <c r="G20" s="126">
        <f>J20+M20</f>
        <v>676467.03</v>
      </c>
      <c r="H20" s="99"/>
      <c r="I20" s="181"/>
      <c r="J20" s="128">
        <f>+P20+V20</f>
        <v>630487.93000000005</v>
      </c>
      <c r="K20" s="129" t="s">
        <v>151</v>
      </c>
      <c r="L20" s="127"/>
      <c r="M20" s="128">
        <f>+S20+Y20</f>
        <v>45979.1</v>
      </c>
      <c r="N20" s="99" t="s">
        <v>151</v>
      </c>
      <c r="O20" s="127"/>
      <c r="P20" s="130">
        <v>630487.93000000005</v>
      </c>
      <c r="Q20" s="58"/>
      <c r="R20" s="127"/>
      <c r="S20" s="130">
        <v>45979.1</v>
      </c>
      <c r="T20" s="99"/>
      <c r="U20" s="182"/>
      <c r="V20" s="130"/>
      <c r="W20" s="183"/>
      <c r="X20" s="184"/>
      <c r="Y20" s="132"/>
      <c r="AD20" s="133">
        <v>672040</v>
      </c>
      <c r="AE20" s="186"/>
      <c r="AF20" s="186"/>
    </row>
    <row r="21" spans="1:32" ht="14.25" customHeight="1" x14ac:dyDescent="0.25">
      <c r="A21" s="122" t="s">
        <v>148</v>
      </c>
      <c r="B21" s="123">
        <v>6011</v>
      </c>
      <c r="C21" s="123">
        <v>28040</v>
      </c>
      <c r="D21" s="124">
        <v>672050</v>
      </c>
      <c r="E21" s="58" t="s">
        <v>166</v>
      </c>
      <c r="F21" s="125"/>
      <c r="G21" s="126">
        <f>J21+M21</f>
        <v>-655431.97</v>
      </c>
      <c r="H21" s="99"/>
      <c r="I21" s="187"/>
      <c r="J21" s="128">
        <f>+P21+V21</f>
        <v>-572552.11</v>
      </c>
      <c r="K21" s="129" t="s">
        <v>151</v>
      </c>
      <c r="L21" s="127"/>
      <c r="M21" s="188">
        <f>+S21+Y21</f>
        <v>-82879.86</v>
      </c>
      <c r="N21" s="99" t="s">
        <v>151</v>
      </c>
      <c r="O21" s="127"/>
      <c r="P21" s="130">
        <f>+-81.71-572470.4</f>
        <v>-572552.11</v>
      </c>
      <c r="Q21" s="189"/>
      <c r="R21" s="190"/>
      <c r="S21" s="191">
        <f>+-129.24-82750.62</f>
        <v>-82879.86</v>
      </c>
      <c r="T21" s="99"/>
      <c r="U21" s="182"/>
      <c r="V21" s="132"/>
      <c r="W21" s="183"/>
      <c r="X21" s="184"/>
      <c r="Y21" s="132"/>
      <c r="AD21" s="133">
        <v>672050</v>
      </c>
      <c r="AE21" s="186"/>
      <c r="AF21" s="186"/>
    </row>
    <row r="22" spans="1:32" ht="14.25" customHeight="1" x14ac:dyDescent="0.25">
      <c r="A22" s="122"/>
      <c r="B22" s="168"/>
      <c r="C22" s="168"/>
      <c r="D22" s="169"/>
      <c r="E22" s="173" t="s">
        <v>167</v>
      </c>
      <c r="F22" s="192"/>
      <c r="G22" s="193">
        <f>SUM(G17:G21)</f>
        <v>4154199.38</v>
      </c>
      <c r="H22" s="99"/>
      <c r="I22" s="194"/>
      <c r="J22" s="91">
        <f>SUM(J17:J21)</f>
        <v>3455245.2800000003</v>
      </c>
      <c r="K22" s="129"/>
      <c r="L22" s="195"/>
      <c r="M22" s="91">
        <f>SUM(M17:M21)</f>
        <v>698954.1</v>
      </c>
      <c r="N22" s="99"/>
      <c r="O22" s="173"/>
      <c r="P22" s="196">
        <f>SUM(P17:P21)</f>
        <v>3445684.77</v>
      </c>
      <c r="Q22" s="129"/>
      <c r="R22" s="90"/>
      <c r="S22" s="174">
        <f>SUM(S17:S21)</f>
        <v>713855</v>
      </c>
      <c r="T22" s="99"/>
      <c r="U22" s="197"/>
      <c r="V22" s="198">
        <f>SUM(V17:V21)</f>
        <v>9560.51</v>
      </c>
      <c r="W22" s="97"/>
      <c r="X22" s="131"/>
      <c r="Y22" s="174">
        <f>SUM(Y17:Y21)</f>
        <v>-14900.9</v>
      </c>
      <c r="AA22" s="176">
        <f>SUM(AA17:AA21)</f>
        <v>0</v>
      </c>
      <c r="AB22" s="176">
        <f>SUM(AB17:AB21)</f>
        <v>0</v>
      </c>
      <c r="AC22" s="176"/>
      <c r="AD22" s="169"/>
    </row>
    <row r="23" spans="1:32" ht="14.25" customHeight="1" x14ac:dyDescent="0.25">
      <c r="A23" s="122"/>
      <c r="B23" s="168"/>
      <c r="C23" s="168"/>
      <c r="D23" s="169"/>
      <c r="E23" s="199"/>
      <c r="F23" s="134"/>
      <c r="G23" s="177"/>
      <c r="H23" s="99"/>
      <c r="I23" s="181"/>
      <c r="J23" s="179"/>
      <c r="K23" s="178"/>
      <c r="L23" s="200"/>
      <c r="M23" s="179"/>
      <c r="N23" s="99"/>
      <c r="O23" s="173"/>
      <c r="P23" s="73"/>
      <c r="Q23" s="58"/>
      <c r="R23" s="58"/>
      <c r="S23" s="53"/>
      <c r="T23" s="99"/>
      <c r="U23" s="182"/>
      <c r="V23" s="89"/>
      <c r="W23" s="97"/>
      <c r="X23" s="131"/>
      <c r="Y23" s="53"/>
      <c r="AD23" s="169"/>
    </row>
    <row r="24" spans="1:32" ht="14.25" customHeight="1" x14ac:dyDescent="0.25">
      <c r="A24" s="122" t="s">
        <v>148</v>
      </c>
      <c r="B24" s="123">
        <v>6011</v>
      </c>
      <c r="C24" s="123">
        <v>28040</v>
      </c>
      <c r="D24" s="124">
        <v>673020</v>
      </c>
      <c r="E24" s="58" t="s">
        <v>168</v>
      </c>
      <c r="F24" s="125"/>
      <c r="G24" s="126">
        <f>J24+M24</f>
        <v>64003.009999999995</v>
      </c>
      <c r="H24" s="99"/>
      <c r="I24" s="181"/>
      <c r="J24" s="128">
        <f t="shared" ref="J24:J37" si="4">+P24+V24</f>
        <v>55919.42</v>
      </c>
      <c r="K24" s="129" t="s">
        <v>151</v>
      </c>
      <c r="L24" s="127"/>
      <c r="M24" s="128">
        <f t="shared" ref="M24:M33" si="5">+S24+Y24</f>
        <v>8083.59</v>
      </c>
      <c r="N24" s="99" t="s">
        <v>151</v>
      </c>
      <c r="O24" s="127"/>
      <c r="P24" s="130">
        <v>55919.42</v>
      </c>
      <c r="Q24" s="58"/>
      <c r="R24" s="127"/>
      <c r="S24" s="130">
        <v>8083.59</v>
      </c>
      <c r="T24" s="99"/>
      <c r="U24" s="182"/>
      <c r="V24" s="132"/>
      <c r="W24" s="97"/>
      <c r="X24" s="131"/>
      <c r="Y24" s="132"/>
      <c r="AD24" s="133">
        <v>673020</v>
      </c>
    </row>
    <row r="25" spans="1:32" ht="14.25" customHeight="1" x14ac:dyDescent="0.25">
      <c r="A25" s="122" t="s">
        <v>148</v>
      </c>
      <c r="B25" s="123">
        <v>6011</v>
      </c>
      <c r="C25" s="123">
        <v>28040</v>
      </c>
      <c r="D25" s="124">
        <v>673030</v>
      </c>
      <c r="E25" s="58" t="s">
        <v>169</v>
      </c>
      <c r="F25" s="125"/>
      <c r="G25" s="126">
        <f t="shared" ref="G25:G37" si="6">J25+M25</f>
        <v>65756.460000000006</v>
      </c>
      <c r="H25" s="99"/>
      <c r="I25" s="181"/>
      <c r="J25" s="128">
        <f t="shared" si="4"/>
        <v>59305.75</v>
      </c>
      <c r="K25" s="129" t="s">
        <v>151</v>
      </c>
      <c r="L25" s="127"/>
      <c r="M25" s="128">
        <f t="shared" si="5"/>
        <v>6450.71</v>
      </c>
      <c r="N25" s="99" t="s">
        <v>151</v>
      </c>
      <c r="O25" s="127"/>
      <c r="P25" s="130">
        <v>59305.75</v>
      </c>
      <c r="Q25" s="58"/>
      <c r="R25" s="127"/>
      <c r="S25" s="130">
        <v>6450.71</v>
      </c>
      <c r="T25" s="99"/>
      <c r="U25" s="182"/>
      <c r="V25" s="132"/>
      <c r="W25" s="97"/>
      <c r="X25" s="131"/>
      <c r="Y25" s="132"/>
      <c r="AD25" s="133">
        <v>673030</v>
      </c>
    </row>
    <row r="26" spans="1:32" ht="14.25" customHeight="1" x14ac:dyDescent="0.25">
      <c r="A26" s="122" t="s">
        <v>148</v>
      </c>
      <c r="B26" s="123">
        <v>6011</v>
      </c>
      <c r="C26" s="123">
        <v>28040</v>
      </c>
      <c r="D26" s="124">
        <v>673040</v>
      </c>
      <c r="E26" s="58" t="s">
        <v>170</v>
      </c>
      <c r="F26" s="125"/>
      <c r="G26" s="126">
        <f t="shared" si="6"/>
        <v>0</v>
      </c>
      <c r="H26" s="99"/>
      <c r="I26" s="181"/>
      <c r="J26" s="137">
        <f t="shared" si="4"/>
        <v>0</v>
      </c>
      <c r="K26" s="129" t="s">
        <v>154</v>
      </c>
      <c r="L26" s="127"/>
      <c r="M26" s="137">
        <f>+S26+Y26</f>
        <v>0</v>
      </c>
      <c r="N26" s="99" t="s">
        <v>154</v>
      </c>
      <c r="O26" s="127"/>
      <c r="P26" s="139"/>
      <c r="Q26" s="58"/>
      <c r="R26" s="127"/>
      <c r="S26" s="147"/>
      <c r="T26" s="99"/>
      <c r="U26" s="182"/>
      <c r="V26" s="166"/>
      <c r="W26" s="97"/>
      <c r="X26" s="131"/>
      <c r="Y26" s="166"/>
      <c r="AD26" s="144">
        <v>673040</v>
      </c>
    </row>
    <row r="27" spans="1:32" ht="14.25" customHeight="1" x14ac:dyDescent="0.25">
      <c r="A27" s="122" t="s">
        <v>148</v>
      </c>
      <c r="B27" s="123">
        <v>6011</v>
      </c>
      <c r="C27" s="123">
        <v>28040</v>
      </c>
      <c r="D27" s="124">
        <v>673050</v>
      </c>
      <c r="E27" s="58" t="s">
        <v>171</v>
      </c>
      <c r="F27" s="125"/>
      <c r="G27" s="126">
        <f t="shared" si="6"/>
        <v>0</v>
      </c>
      <c r="H27" s="99"/>
      <c r="I27" s="181"/>
      <c r="J27" s="137">
        <f t="shared" si="4"/>
        <v>0</v>
      </c>
      <c r="K27" s="129" t="s">
        <v>154</v>
      </c>
      <c r="L27" s="127"/>
      <c r="M27" s="128">
        <f t="shared" si="5"/>
        <v>0</v>
      </c>
      <c r="N27" s="99" t="s">
        <v>151</v>
      </c>
      <c r="O27" s="127"/>
      <c r="P27" s="139"/>
      <c r="Q27" s="58"/>
      <c r="R27" s="127"/>
      <c r="S27" s="132"/>
      <c r="T27" s="99"/>
      <c r="U27" s="182"/>
      <c r="V27" s="132"/>
      <c r="W27" s="97"/>
      <c r="X27" s="131"/>
      <c r="Y27" s="201"/>
      <c r="AD27" s="133">
        <v>673050</v>
      </c>
    </row>
    <row r="28" spans="1:32" ht="14.25" customHeight="1" x14ac:dyDescent="0.25">
      <c r="A28" s="122" t="s">
        <v>148</v>
      </c>
      <c r="B28" s="123">
        <v>6011</v>
      </c>
      <c r="C28" s="123">
        <v>28040</v>
      </c>
      <c r="D28" s="124">
        <v>673060</v>
      </c>
      <c r="E28" s="58" t="s">
        <v>172</v>
      </c>
      <c r="F28" s="125"/>
      <c r="G28" s="126">
        <f t="shared" si="6"/>
        <v>0</v>
      </c>
      <c r="H28" s="99"/>
      <c r="I28" s="181"/>
      <c r="J28" s="137">
        <f t="shared" si="4"/>
        <v>0</v>
      </c>
      <c r="K28" s="129" t="s">
        <v>154</v>
      </c>
      <c r="L28" s="127"/>
      <c r="M28" s="128">
        <f t="shared" si="5"/>
        <v>0</v>
      </c>
      <c r="N28" s="99" t="s">
        <v>151</v>
      </c>
      <c r="O28" s="127"/>
      <c r="P28" s="139"/>
      <c r="Q28" s="58"/>
      <c r="R28" s="127"/>
      <c r="S28" s="132"/>
      <c r="T28" s="99"/>
      <c r="U28" s="182"/>
      <c r="V28" s="132"/>
      <c r="W28" s="97"/>
      <c r="X28" s="131"/>
      <c r="Y28" s="201"/>
      <c r="AD28" s="133">
        <v>673060</v>
      </c>
    </row>
    <row r="29" spans="1:32" ht="14.25" customHeight="1" x14ac:dyDescent="0.25">
      <c r="A29" s="122" t="s">
        <v>148</v>
      </c>
      <c r="B29" s="123">
        <v>6011</v>
      </c>
      <c r="C29" s="123">
        <v>28040</v>
      </c>
      <c r="D29" s="124">
        <v>673070</v>
      </c>
      <c r="E29" s="58" t="s">
        <v>173</v>
      </c>
      <c r="F29" s="125"/>
      <c r="G29" s="126">
        <f t="shared" si="6"/>
        <v>0</v>
      </c>
      <c r="H29" s="99"/>
      <c r="I29" s="181"/>
      <c r="J29" s="137">
        <f t="shared" si="4"/>
        <v>0</v>
      </c>
      <c r="K29" s="129" t="s">
        <v>154</v>
      </c>
      <c r="L29" s="127"/>
      <c r="M29" s="128">
        <f t="shared" si="5"/>
        <v>0</v>
      </c>
      <c r="N29" s="99" t="s">
        <v>151</v>
      </c>
      <c r="O29" s="127"/>
      <c r="P29" s="139"/>
      <c r="Q29" s="58"/>
      <c r="R29" s="127"/>
      <c r="S29" s="132"/>
      <c r="T29" s="99"/>
      <c r="U29" s="182"/>
      <c r="V29" s="132"/>
      <c r="W29" s="97"/>
      <c r="X29" s="131"/>
      <c r="Y29" s="132"/>
      <c r="AD29" s="133">
        <v>673070</v>
      </c>
    </row>
    <row r="30" spans="1:32" ht="14.25" customHeight="1" x14ac:dyDescent="0.25">
      <c r="A30" s="122" t="s">
        <v>148</v>
      </c>
      <c r="B30" s="123">
        <v>6011</v>
      </c>
      <c r="C30" s="123">
        <v>28040</v>
      </c>
      <c r="D30" s="124">
        <v>673080</v>
      </c>
      <c r="E30" s="58" t="s">
        <v>174</v>
      </c>
      <c r="F30" s="125"/>
      <c r="G30" s="126">
        <f t="shared" si="6"/>
        <v>18942</v>
      </c>
      <c r="H30" s="99"/>
      <c r="I30" s="181"/>
      <c r="J30" s="128">
        <f t="shared" si="4"/>
        <v>17195.400000000001</v>
      </c>
      <c r="K30" s="129" t="s">
        <v>151</v>
      </c>
      <c r="L30" s="127"/>
      <c r="M30" s="128">
        <f t="shared" si="5"/>
        <v>1746.6</v>
      </c>
      <c r="N30" s="99" t="s">
        <v>151</v>
      </c>
      <c r="O30" s="127"/>
      <c r="P30" s="130">
        <v>17195.400000000001</v>
      </c>
      <c r="Q30" s="58"/>
      <c r="R30" s="127"/>
      <c r="S30" s="130">
        <v>1746.6</v>
      </c>
      <c r="T30" s="99"/>
      <c r="U30" s="182"/>
      <c r="V30" s="132"/>
      <c r="W30" s="97"/>
      <c r="X30" s="131"/>
      <c r="Y30" s="132"/>
      <c r="AD30" s="133">
        <v>673080</v>
      </c>
    </row>
    <row r="31" spans="1:32" ht="14.25" customHeight="1" x14ac:dyDescent="0.25">
      <c r="A31" s="122" t="s">
        <v>148</v>
      </c>
      <c r="B31" s="123">
        <v>6011</v>
      </c>
      <c r="C31" s="123">
        <v>28040</v>
      </c>
      <c r="D31" s="124">
        <v>673090</v>
      </c>
      <c r="E31" s="58" t="s">
        <v>175</v>
      </c>
      <c r="F31" s="125"/>
      <c r="G31" s="126">
        <f t="shared" si="6"/>
        <v>0</v>
      </c>
      <c r="H31" s="99"/>
      <c r="I31" s="181"/>
      <c r="J31" s="137">
        <f t="shared" si="4"/>
        <v>0</v>
      </c>
      <c r="K31" s="129" t="s">
        <v>154</v>
      </c>
      <c r="L31" s="127"/>
      <c r="M31" s="137">
        <f>+S31+Y31</f>
        <v>0</v>
      </c>
      <c r="N31" s="99" t="s">
        <v>154</v>
      </c>
      <c r="O31" s="127"/>
      <c r="P31" s="139"/>
      <c r="Q31" s="58"/>
      <c r="R31" s="127"/>
      <c r="S31" s="139"/>
      <c r="T31" s="99"/>
      <c r="U31" s="182"/>
      <c r="V31" s="166"/>
      <c r="W31" s="97"/>
      <c r="X31" s="131"/>
      <c r="Y31" s="166"/>
      <c r="AD31" s="144">
        <v>673090</v>
      </c>
    </row>
    <row r="32" spans="1:32" ht="14.25" customHeight="1" x14ac:dyDescent="0.25">
      <c r="A32" s="122" t="s">
        <v>148</v>
      </c>
      <c r="B32" s="123">
        <v>6011</v>
      </c>
      <c r="C32" s="123">
        <v>28040</v>
      </c>
      <c r="D32" s="124">
        <v>673120</v>
      </c>
      <c r="E32" s="58" t="s">
        <v>176</v>
      </c>
      <c r="F32" s="125"/>
      <c r="G32" s="126">
        <f t="shared" si="6"/>
        <v>150011.61000000002</v>
      </c>
      <c r="H32" s="99"/>
      <c r="I32" s="181"/>
      <c r="J32" s="128">
        <f t="shared" si="4"/>
        <v>131627.89000000001</v>
      </c>
      <c r="K32" s="129" t="s">
        <v>151</v>
      </c>
      <c r="L32" s="127"/>
      <c r="M32" s="128">
        <f t="shared" si="5"/>
        <v>18383.72</v>
      </c>
      <c r="N32" s="99" t="s">
        <v>151</v>
      </c>
      <c r="O32" s="127"/>
      <c r="P32" s="130">
        <v>131627.89000000001</v>
      </c>
      <c r="Q32" s="58"/>
      <c r="R32" s="127"/>
      <c r="S32" s="130">
        <v>18383.72</v>
      </c>
      <c r="T32" s="99"/>
      <c r="U32" s="182"/>
      <c r="V32" s="132"/>
      <c r="W32" s="97"/>
      <c r="X32" s="131"/>
      <c r="Y32" s="132"/>
      <c r="AD32" s="133">
        <v>673120</v>
      </c>
    </row>
    <row r="33" spans="1:30" ht="14.25" customHeight="1" x14ac:dyDescent="0.25">
      <c r="A33" s="122" t="s">
        <v>148</v>
      </c>
      <c r="B33" s="123">
        <v>6011</v>
      </c>
      <c r="C33" s="123">
        <v>28040</v>
      </c>
      <c r="D33" s="124">
        <v>673130</v>
      </c>
      <c r="E33" s="58" t="s">
        <v>177</v>
      </c>
      <c r="F33" s="125"/>
      <c r="G33" s="126">
        <f t="shared" si="6"/>
        <v>105</v>
      </c>
      <c r="H33" s="99"/>
      <c r="I33" s="181"/>
      <c r="J33" s="128">
        <f t="shared" si="4"/>
        <v>94.7</v>
      </c>
      <c r="K33" s="129" t="s">
        <v>151</v>
      </c>
      <c r="L33" s="127"/>
      <c r="M33" s="128">
        <f t="shared" si="5"/>
        <v>10.3</v>
      </c>
      <c r="N33" s="99" t="s">
        <v>151</v>
      </c>
      <c r="O33" s="127"/>
      <c r="P33" s="130">
        <v>94.7</v>
      </c>
      <c r="Q33" s="58"/>
      <c r="R33" s="127"/>
      <c r="S33" s="130">
        <v>10.3</v>
      </c>
      <c r="T33" s="99"/>
      <c r="U33" s="182"/>
      <c r="V33" s="132"/>
      <c r="W33" s="97"/>
      <c r="X33" s="131"/>
      <c r="Y33" s="132"/>
      <c r="AD33" s="133">
        <v>673130</v>
      </c>
    </row>
    <row r="34" spans="1:30" ht="14.25" customHeight="1" x14ac:dyDescent="0.25">
      <c r="A34" s="122" t="s">
        <v>148</v>
      </c>
      <c r="B34" s="123">
        <v>6011</v>
      </c>
      <c r="C34" s="123">
        <v>28040</v>
      </c>
      <c r="D34" s="124">
        <v>673140</v>
      </c>
      <c r="E34" s="58" t="s">
        <v>178</v>
      </c>
      <c r="F34" s="125"/>
      <c r="G34" s="126">
        <f t="shared" si="6"/>
        <v>0</v>
      </c>
      <c r="H34" s="99"/>
      <c r="I34" s="181"/>
      <c r="J34" s="137">
        <f t="shared" si="4"/>
        <v>0</v>
      </c>
      <c r="K34" s="129" t="s">
        <v>154</v>
      </c>
      <c r="L34" s="127"/>
      <c r="M34" s="137">
        <f>+S34+Y34</f>
        <v>0</v>
      </c>
      <c r="N34" s="99" t="s">
        <v>154</v>
      </c>
      <c r="O34" s="127"/>
      <c r="P34" s="139"/>
      <c r="Q34" s="58"/>
      <c r="R34" s="127"/>
      <c r="S34" s="139"/>
      <c r="T34" s="99"/>
      <c r="U34" s="182"/>
      <c r="V34" s="147"/>
      <c r="W34" s="97"/>
      <c r="X34" s="131"/>
      <c r="Y34" s="147"/>
      <c r="AD34" s="144">
        <v>673140</v>
      </c>
    </row>
    <row r="35" spans="1:30" ht="14.25" customHeight="1" x14ac:dyDescent="0.25">
      <c r="A35" s="122" t="s">
        <v>148</v>
      </c>
      <c r="B35" s="123">
        <v>6011</v>
      </c>
      <c r="C35" s="123">
        <v>28040</v>
      </c>
      <c r="D35" s="124">
        <v>673160</v>
      </c>
      <c r="E35" s="58" t="s">
        <v>179</v>
      </c>
      <c r="F35" s="125"/>
      <c r="G35" s="126">
        <f t="shared" si="6"/>
        <v>0</v>
      </c>
      <c r="H35" s="99"/>
      <c r="I35" s="181"/>
      <c r="J35" s="137">
        <f t="shared" si="4"/>
        <v>0</v>
      </c>
      <c r="K35" s="129" t="s">
        <v>154</v>
      </c>
      <c r="L35" s="127"/>
      <c r="M35" s="137">
        <f>+S35+Y35</f>
        <v>0</v>
      </c>
      <c r="N35" s="99" t="s">
        <v>154</v>
      </c>
      <c r="O35" s="127"/>
      <c r="P35" s="139"/>
      <c r="Q35" s="58"/>
      <c r="R35" s="127"/>
      <c r="S35" s="139"/>
      <c r="T35" s="99"/>
      <c r="U35" s="182"/>
      <c r="V35" s="147"/>
      <c r="W35" s="97"/>
      <c r="X35" s="131"/>
      <c r="Y35" s="147"/>
      <c r="AD35" s="144">
        <v>673160</v>
      </c>
    </row>
    <row r="36" spans="1:30" ht="14.25" customHeight="1" x14ac:dyDescent="0.25">
      <c r="A36" s="122" t="s">
        <v>148</v>
      </c>
      <c r="B36" s="123">
        <v>6011</v>
      </c>
      <c r="C36" s="123">
        <v>28040</v>
      </c>
      <c r="D36" s="124">
        <v>673180</v>
      </c>
      <c r="E36" s="58" t="s">
        <v>180</v>
      </c>
      <c r="F36" s="125"/>
      <c r="G36" s="126">
        <f t="shared" si="6"/>
        <v>20363.830000000002</v>
      </c>
      <c r="H36" s="99"/>
      <c r="I36" s="181"/>
      <c r="J36" s="128">
        <f>+P36+V36</f>
        <v>18486.080000000002</v>
      </c>
      <c r="K36" s="129" t="s">
        <v>151</v>
      </c>
      <c r="L36" s="127"/>
      <c r="M36" s="128">
        <f>+S36+Y36</f>
        <v>1877.75</v>
      </c>
      <c r="N36" s="99" t="s">
        <v>151</v>
      </c>
      <c r="O36" s="127"/>
      <c r="P36" s="130">
        <v>18486.080000000002</v>
      </c>
      <c r="Q36" s="58"/>
      <c r="R36" s="127"/>
      <c r="S36" s="130">
        <v>1877.75</v>
      </c>
      <c r="T36" s="99"/>
      <c r="U36" s="182"/>
      <c r="V36" s="132"/>
      <c r="W36" s="97"/>
      <c r="X36" s="131"/>
      <c r="Y36" s="132"/>
      <c r="AD36" s="133">
        <v>673180</v>
      </c>
    </row>
    <row r="37" spans="1:30" ht="14.25" customHeight="1" x14ac:dyDescent="0.25">
      <c r="A37" s="122" t="s">
        <v>148</v>
      </c>
      <c r="B37" s="123">
        <v>6011</v>
      </c>
      <c r="C37" s="123">
        <v>28040</v>
      </c>
      <c r="D37" s="124">
        <v>673190</v>
      </c>
      <c r="E37" s="163" t="s">
        <v>181</v>
      </c>
      <c r="F37" s="125"/>
      <c r="G37" s="202">
        <f t="shared" si="6"/>
        <v>0</v>
      </c>
      <c r="H37" s="99"/>
      <c r="I37" s="181"/>
      <c r="J37" s="137">
        <f t="shared" si="4"/>
        <v>0</v>
      </c>
      <c r="K37" s="129" t="s">
        <v>154</v>
      </c>
      <c r="L37" s="190"/>
      <c r="M37" s="137">
        <f>+S37+Y37</f>
        <v>0</v>
      </c>
      <c r="N37" s="99" t="s">
        <v>154</v>
      </c>
      <c r="O37" s="190"/>
      <c r="P37" s="147"/>
      <c r="Q37" s="58"/>
      <c r="R37" s="190"/>
      <c r="S37" s="167"/>
      <c r="T37" s="99"/>
      <c r="U37" s="203"/>
      <c r="V37" s="147"/>
      <c r="W37" s="97"/>
      <c r="X37" s="131"/>
      <c r="Y37" s="147"/>
      <c r="AD37" s="144">
        <v>673190</v>
      </c>
    </row>
    <row r="38" spans="1:30" ht="15" x14ac:dyDescent="0.25">
      <c r="E38" s="58" t="s">
        <v>182</v>
      </c>
      <c r="F38" s="192"/>
      <c r="G38" s="126">
        <f>SUM(G24:G37)</f>
        <v>319181.91000000003</v>
      </c>
      <c r="H38" s="99"/>
      <c r="I38" s="192"/>
      <c r="J38" s="91">
        <f>SUM(J24:J37)</f>
        <v>282629.24000000005</v>
      </c>
      <c r="K38" s="129"/>
      <c r="L38" s="58"/>
      <c r="M38" s="91">
        <f>SUM(M24:M37)</f>
        <v>36552.670000000006</v>
      </c>
      <c r="N38" s="99"/>
      <c r="O38" s="58"/>
      <c r="P38" s="174">
        <f>SUM(P24:P37)</f>
        <v>282629.24000000005</v>
      </c>
      <c r="Q38" s="129"/>
      <c r="R38" s="90"/>
      <c r="S38" s="174">
        <f>SUM(S24:S37)</f>
        <v>36552.670000000006</v>
      </c>
      <c r="T38" s="99"/>
      <c r="V38" s="174">
        <f>SUM(V24:V37)</f>
        <v>0</v>
      </c>
      <c r="X38" s="204"/>
      <c r="Y38" s="174">
        <f>SUM(Y24:Y37)</f>
        <v>0</v>
      </c>
      <c r="AA38" s="176">
        <f>SUM(AA24:AA37)</f>
        <v>0</v>
      </c>
      <c r="AB38" s="176">
        <f>SUM(AB24:AB37)</f>
        <v>0</v>
      </c>
      <c r="AC38" s="176"/>
    </row>
    <row r="39" spans="1:30" ht="14.1" customHeight="1" x14ac:dyDescent="0.25">
      <c r="E39" s="199"/>
      <c r="G39" s="205"/>
      <c r="H39" s="99"/>
      <c r="I39" s="192"/>
      <c r="J39" s="206"/>
      <c r="K39" s="207"/>
      <c r="L39" s="192"/>
      <c r="M39" s="206"/>
      <c r="N39" s="99"/>
      <c r="O39" s="90"/>
      <c r="P39" s="91"/>
      <c r="Q39" s="58"/>
      <c r="R39" s="90"/>
      <c r="S39" s="91"/>
      <c r="T39" s="99"/>
      <c r="U39" s="208"/>
      <c r="V39" s="170"/>
      <c r="Y39" s="92"/>
      <c r="AA39" s="98"/>
      <c r="AB39" s="98"/>
      <c r="AC39" s="98"/>
    </row>
    <row r="40" spans="1:30" ht="15.75" customHeight="1" x14ac:dyDescent="0.25">
      <c r="E40" s="90" t="s">
        <v>183</v>
      </c>
      <c r="F40" s="192">
        <f>+F38+F22+F15</f>
        <v>25209478</v>
      </c>
      <c r="G40" s="126">
        <f>+G38+G22+G15</f>
        <v>12070972.809999999</v>
      </c>
      <c r="H40" s="99"/>
      <c r="I40" s="209">
        <f>+I38+I22+I15</f>
        <v>18973581</v>
      </c>
      <c r="J40" s="196">
        <f>+J38+J22+J15</f>
        <v>9275144.5300000012</v>
      </c>
      <c r="K40" s="210"/>
      <c r="L40" s="209">
        <f>+L38+L22+L15</f>
        <v>6235897</v>
      </c>
      <c r="M40" s="196">
        <f>+M38+M22+M15</f>
        <v>2795828.2800000003</v>
      </c>
      <c r="N40" s="111"/>
      <c r="O40" s="209">
        <f>+O38+O22+O15</f>
        <v>18971233</v>
      </c>
      <c r="P40" s="196">
        <f>+P38+P22+P15</f>
        <v>9261446.0899999999</v>
      </c>
      <c r="Q40" s="211"/>
      <c r="R40" s="209">
        <f>+R38+R22+R15</f>
        <v>6238245</v>
      </c>
      <c r="S40" s="196">
        <f>+S38+S22+S15</f>
        <v>2811388.9599999995</v>
      </c>
      <c r="T40" s="99"/>
      <c r="U40" s="212">
        <f>+U38+U22+U15</f>
        <v>2348</v>
      </c>
      <c r="V40" s="196">
        <f>+V38+V22+V15</f>
        <v>13698.44</v>
      </c>
      <c r="X40" s="141">
        <f>+X38+X22+X15</f>
        <v>-2348</v>
      </c>
      <c r="Y40" s="196">
        <f>+Y38+Y22+Y15</f>
        <v>-15560.68</v>
      </c>
      <c r="AA40" s="176">
        <f>+AA38+AA22+AA15</f>
        <v>0</v>
      </c>
      <c r="AB40" s="176">
        <f>+AB38+AB22+AB15</f>
        <v>0</v>
      </c>
      <c r="AC40" s="176"/>
      <c r="AD40" s="186"/>
    </row>
    <row r="41" spans="1:30" ht="14.1" customHeight="1" x14ac:dyDescent="0.25">
      <c r="G41" s="213"/>
      <c r="H41" s="99"/>
      <c r="I41" s="134"/>
      <c r="J41" s="179"/>
      <c r="K41" s="207"/>
      <c r="L41" s="134"/>
      <c r="M41" s="179"/>
      <c r="N41" s="99"/>
      <c r="O41" s="58"/>
      <c r="P41" s="53"/>
      <c r="Q41" s="58"/>
      <c r="R41" s="58"/>
      <c r="S41" s="53"/>
      <c r="T41" s="99"/>
      <c r="V41" s="92"/>
      <c r="Y41" s="92"/>
    </row>
    <row r="42" spans="1:30" ht="14.1" customHeight="1" x14ac:dyDescent="0.25">
      <c r="B42" s="134" t="s">
        <v>184</v>
      </c>
      <c r="H42" s="99"/>
      <c r="I42" s="214" t="s">
        <v>88</v>
      </c>
      <c r="J42" s="215">
        <f>+J8+J9+J10+J11+J12+J13+J14+J18+J26+J27+J28+J29+J31+J34+J35+J37</f>
        <v>5432690.0099999998</v>
      </c>
      <c r="K42" s="207" t="s">
        <v>154</v>
      </c>
      <c r="L42" s="134"/>
      <c r="M42" s="216">
        <f>+M8+M9+M10+M11+M12+M13+M14+M18+M26+M31+M34+M35+M37</f>
        <v>1604778.03</v>
      </c>
      <c r="N42" s="217" t="s">
        <v>154</v>
      </c>
      <c r="O42" s="58"/>
      <c r="P42" s="218">
        <f>+P8+P9+P10+P11+P12+P13+P14+P18+P26+P27+P28+P29+P31+P34+P35+P37</f>
        <v>5422477.5600000005</v>
      </c>
      <c r="Q42" s="58"/>
      <c r="R42" s="214" t="s">
        <v>102</v>
      </c>
      <c r="S42" s="218">
        <f>+S8+S10+S9+S11+S12+S13+S14+S18+S26+S31+S34+S35+S37</f>
        <v>1620333.3599999999</v>
      </c>
      <c r="T42" s="99"/>
      <c r="V42" s="218">
        <f>+V8+V9+V10+V11+V12+V13+V14+V18+V26+V27+V28+V29+V31+V34+V35+V37</f>
        <v>10212.450000000001</v>
      </c>
      <c r="Y42" s="218">
        <f>Y9+Y10+Y11+Y12+Y13+Y14+Y18+Y26+Y31+Y34+Y35+Y37+Y8</f>
        <v>-15555.329999999998</v>
      </c>
      <c r="AA42" s="219">
        <f>+AA8+AA9+AA10+AA11+AA12+AA13+AA14+AA18+AA26+AA27+AA28+AA29+AA31+AA34+AA35+AA37</f>
        <v>0</v>
      </c>
      <c r="AB42" s="219">
        <f>+AB6+AB8+AB9+AB10+AB11+AB12+AB13+AB14+AB18+AB26+AB31+AB34+AB35+AB37</f>
        <v>0</v>
      </c>
    </row>
    <row r="43" spans="1:30" ht="14.1" customHeight="1" x14ac:dyDescent="0.25">
      <c r="B43" s="134" t="s">
        <v>185</v>
      </c>
      <c r="H43" s="99"/>
      <c r="I43" s="214" t="s">
        <v>88</v>
      </c>
      <c r="J43" s="215">
        <f>+J6+J7+J17+J24+J25+J30+J32+J33+J36+J19+J20+J21</f>
        <v>3842454.52</v>
      </c>
      <c r="K43" s="207" t="s">
        <v>151</v>
      </c>
      <c r="L43" s="134"/>
      <c r="M43" s="216">
        <f>M6+M7+M17+M24+M25+M30+M32+M33+M36+M19+M20+M21+M29+M28+M27</f>
        <v>1191050.25</v>
      </c>
      <c r="N43" s="217" t="s">
        <v>151</v>
      </c>
      <c r="O43" s="58"/>
      <c r="P43" s="220">
        <f>P6+P7+P17+P24+P25+P30+P32+P33+P36+P19+P20+P21</f>
        <v>3838968.53</v>
      </c>
      <c r="Q43" s="58"/>
      <c r="R43" s="214" t="s">
        <v>102</v>
      </c>
      <c r="S43" s="220">
        <f>+S7+S6+S17+S24+S25+S30+S32+S33+S36+S19+S20+S21+S29+S28+S27</f>
        <v>1191055.6000000001</v>
      </c>
      <c r="T43" s="99"/>
      <c r="V43" s="220">
        <f>V6+V7+V17+V24+V25+V30+V32+V33+V36+V19+V20+V21</f>
        <v>3485.99</v>
      </c>
      <c r="Y43" s="220">
        <f>+Y7+Y17+Y24+Y25+Y30+Y32+Y33+Y36+Y19+Y20+Y21+Y29+Y28+Y27+Y6</f>
        <v>-5.35</v>
      </c>
      <c r="AA43" s="221">
        <f>AA6+AA7+AA17+AA24+AA25+AA30+AA32+AA33+AA36</f>
        <v>0</v>
      </c>
      <c r="AB43" s="221">
        <f>+AB7+AB17+AB24+AB25+AB27+AB28+AB29+AB30+AB32+AB33+AB36</f>
        <v>0</v>
      </c>
    </row>
    <row r="44" spans="1:30" ht="15" customHeight="1" x14ac:dyDescent="0.25">
      <c r="B44" s="134" t="s">
        <v>98</v>
      </c>
      <c r="H44" s="99"/>
      <c r="I44" s="134"/>
      <c r="J44" s="196">
        <f>SUM(J42:J43)</f>
        <v>9275144.5299999993</v>
      </c>
      <c r="K44" s="222"/>
      <c r="L44" s="134"/>
      <c r="M44" s="196">
        <f>SUM(M42:M43)</f>
        <v>2795828.2800000003</v>
      </c>
      <c r="N44" s="99"/>
      <c r="O44" s="58"/>
      <c r="P44" s="196">
        <f>SUM(P42:P43)</f>
        <v>9261446.0899999999</v>
      </c>
      <c r="Q44" s="58"/>
      <c r="R44" s="58"/>
      <c r="S44" s="196">
        <f>SUM(S42:S43)</f>
        <v>2811388.96</v>
      </c>
      <c r="T44" s="99"/>
      <c r="V44" s="174">
        <f>SUM(V42:V43)</f>
        <v>13698.44</v>
      </c>
      <c r="Y44" s="174">
        <f>SUM(Y42:Y43)</f>
        <v>-15560.679999999998</v>
      </c>
      <c r="AA44" s="223">
        <f>SUM(AA42:AA43)</f>
        <v>0</v>
      </c>
      <c r="AB44" s="223">
        <f>SUM(AB42:AB43)</f>
        <v>0</v>
      </c>
      <c r="AC44" s="224"/>
    </row>
    <row r="45" spans="1:30" ht="15" customHeight="1" x14ac:dyDescent="0.25">
      <c r="K45" s="93"/>
    </row>
    <row r="46" spans="1:30" ht="15" customHeight="1" x14ac:dyDescent="0.25">
      <c r="I46" s="58" t="s">
        <v>186</v>
      </c>
      <c r="J46" s="225">
        <f>J44+M44</f>
        <v>12070972.809999999</v>
      </c>
      <c r="O46" s="226" t="s">
        <v>187</v>
      </c>
      <c r="P46" s="227">
        <f>P44-P11-P12-P13</f>
        <v>9269974.7200000007</v>
      </c>
      <c r="R46" s="226" t="s">
        <v>187</v>
      </c>
      <c r="S46" s="227">
        <f>S44-S11-S12-S13</f>
        <v>2812426.07</v>
      </c>
      <c r="V46" s="186"/>
      <c r="Y46" s="53">
        <f>+Y44+V44</f>
        <v>-1862.239999999998</v>
      </c>
      <c r="AD46" s="58" t="s">
        <v>188</v>
      </c>
    </row>
    <row r="47" spans="1:30" ht="15" customHeight="1" x14ac:dyDescent="0.25">
      <c r="E47" s="228"/>
      <c r="J47" s="229"/>
      <c r="O47" s="230" t="s">
        <v>189</v>
      </c>
      <c r="P47" s="231">
        <f>V44</f>
        <v>13698.44</v>
      </c>
      <c r="Q47" s="134"/>
      <c r="R47" s="230" t="s">
        <v>189</v>
      </c>
      <c r="S47" s="231">
        <f>Y44</f>
        <v>-15560.679999999998</v>
      </c>
      <c r="V47" s="82" t="s">
        <v>190</v>
      </c>
      <c r="Y47" s="186"/>
    </row>
    <row r="48" spans="1:30" ht="15" customHeight="1" x14ac:dyDescent="0.25">
      <c r="E48" s="228"/>
      <c r="F48" s="82" t="s">
        <v>191</v>
      </c>
      <c r="P48" s="232">
        <f>P46+P47</f>
        <v>9283673.1600000001</v>
      </c>
      <c r="Q48" s="233"/>
      <c r="R48" s="233"/>
      <c r="S48" s="232">
        <f>S46+S47</f>
        <v>2796865.3899999997</v>
      </c>
      <c r="T48" s="233"/>
      <c r="U48" s="233"/>
      <c r="V48" s="234">
        <f>P11+P12+P13+S11+S12+S13</f>
        <v>-9565.74</v>
      </c>
      <c r="Y48" s="235"/>
    </row>
    <row r="49" spans="1:25" ht="15" customHeight="1" x14ac:dyDescent="0.25">
      <c r="E49" s="228"/>
      <c r="K49" s="236"/>
      <c r="L49" s="237" t="s">
        <v>103</v>
      </c>
      <c r="M49" s="238" t="s">
        <v>192</v>
      </c>
      <c r="P49" s="239"/>
      <c r="S49" s="239"/>
      <c r="Y49" s="235"/>
    </row>
    <row r="50" spans="1:25" ht="14.1" customHeight="1" x14ac:dyDescent="0.25">
      <c r="K50" s="105"/>
      <c r="L50" s="237" t="s">
        <v>193</v>
      </c>
      <c r="M50" s="238" t="s">
        <v>194</v>
      </c>
      <c r="O50" s="211"/>
      <c r="Y50" s="235"/>
    </row>
    <row r="51" spans="1:25" ht="14.1" customHeight="1" x14ac:dyDescent="0.25">
      <c r="A51" s="82"/>
      <c r="K51" s="105"/>
      <c r="L51" s="237" t="s">
        <v>195</v>
      </c>
      <c r="M51" s="238" t="s">
        <v>196</v>
      </c>
    </row>
    <row r="52" spans="1:25" ht="14.1" customHeight="1" x14ac:dyDescent="0.25">
      <c r="A52" s="240"/>
      <c r="K52" s="105"/>
      <c r="L52" s="237" t="s">
        <v>197</v>
      </c>
      <c r="M52" s="238" t="s">
        <v>198</v>
      </c>
    </row>
    <row r="53" spans="1:25" ht="14.1" customHeight="1" x14ac:dyDescent="0.25">
      <c r="K53" s="105"/>
      <c r="L53" s="237" t="s">
        <v>199</v>
      </c>
      <c r="M53" s="241" t="s">
        <v>69</v>
      </c>
    </row>
    <row r="54" spans="1:25" ht="14.1" customHeight="1" x14ac:dyDescent="0.25">
      <c r="K54" s="105"/>
      <c r="L54" s="237" t="s">
        <v>200</v>
      </c>
      <c r="M54" s="238" t="s">
        <v>201</v>
      </c>
    </row>
    <row r="55" spans="1:25" ht="14.1" customHeight="1" x14ac:dyDescent="0.25">
      <c r="K55" s="105"/>
      <c r="L55" s="237" t="s">
        <v>202</v>
      </c>
      <c r="M55" s="238" t="s">
        <v>203</v>
      </c>
    </row>
    <row r="56" spans="1:25" ht="14.1" customHeight="1" x14ac:dyDescent="0.25">
      <c r="K56" s="105"/>
      <c r="L56" s="237" t="s">
        <v>204</v>
      </c>
      <c r="M56" s="238" t="s">
        <v>205</v>
      </c>
    </row>
    <row r="57" spans="1:25" ht="14.1" customHeight="1" x14ac:dyDescent="0.25">
      <c r="K57" s="93"/>
      <c r="L57" s="242"/>
      <c r="M57" s="238" t="s">
        <v>206</v>
      </c>
    </row>
    <row r="58" spans="1:25" ht="14.1" customHeight="1" thickBot="1" x14ac:dyDescent="0.3">
      <c r="O58" s="243" t="s">
        <v>147</v>
      </c>
      <c r="P58" s="244"/>
      <c r="Q58" s="243"/>
      <c r="R58" s="243" t="s">
        <v>147</v>
      </c>
      <c r="S58" s="244"/>
    </row>
    <row r="59" spans="1:25" ht="14.1" customHeight="1" x14ac:dyDescent="0.25">
      <c r="A59" s="82"/>
      <c r="I59" s="245" t="s">
        <v>207</v>
      </c>
      <c r="J59" s="246" t="s">
        <v>208</v>
      </c>
      <c r="K59" s="211"/>
      <c r="L59" s="74">
        <v>6011</v>
      </c>
      <c r="M59" s="238" t="s">
        <v>209</v>
      </c>
      <c r="O59" s="211" t="e">
        <f ca="1">[1]!ssgxa4(M$55&amp;"-"&amp;I59&amp;"-"&amp;$L59&amp;"-"&amp;$M59,M$49,M$51,M$52,M$53,M$54)</f>
        <v>#NAME?</v>
      </c>
      <c r="P59" s="84" t="e">
        <f ca="1">[1]!ssgxa4(M$55&amp;"-"&amp;I59&amp;"-"&amp;$L59&amp;"-"&amp;$M59,M$50,M$51,M$52,M$53,M$54)</f>
        <v>#NAME?</v>
      </c>
      <c r="Q59" s="134">
        <v>-1</v>
      </c>
      <c r="R59" s="211" t="e">
        <f ca="1">[1]!ssgxa4(M$55&amp;"-"&amp;J59&amp;"-"&amp;$L59&amp;"-"&amp;$M59,M$49,M$51,M$52,M$53,M$54)</f>
        <v>#NAME?</v>
      </c>
      <c r="S59" s="84" t="e">
        <f ca="1">[1]!ssgxa4(M$55&amp;"-"&amp;J59&amp;"-"&amp;$L59&amp;"-"&amp;$M59,M$50,M$51,M$52,M$53,M$54)</f>
        <v>#NAME?</v>
      </c>
      <c r="T59" s="247">
        <v>-4</v>
      </c>
    </row>
    <row r="60" spans="1:25" ht="14.1" customHeight="1" x14ac:dyDescent="0.25">
      <c r="I60" s="245" t="s">
        <v>207</v>
      </c>
      <c r="J60" s="246" t="s">
        <v>208</v>
      </c>
      <c r="K60" s="211"/>
      <c r="L60" s="74">
        <v>6011</v>
      </c>
      <c r="M60" s="74">
        <v>28082</v>
      </c>
      <c r="O60" s="211" t="e">
        <f ca="1">[1]!ssgxa4(M$55&amp;"-"&amp;I60&amp;"-"&amp;$L60&amp;"-"&amp;$M60,M$49,M$51,M$52,M$53,M$54)</f>
        <v>#NAME?</v>
      </c>
      <c r="P60" s="248" t="e">
        <f ca="1">[1]!ssgxa4(M$55&amp;"-"&amp;M$56&amp;"-"&amp;$L60&amp;"-"&amp;$M60,M$50,M$51,M$52,M$53,M$54)</f>
        <v>#NAME?</v>
      </c>
      <c r="Q60" s="134">
        <v>-2</v>
      </c>
      <c r="R60" s="84"/>
      <c r="S60" s="248"/>
      <c r="T60" s="247"/>
    </row>
    <row r="61" spans="1:25" ht="15" x14ac:dyDescent="0.25">
      <c r="I61" s="245" t="s">
        <v>207</v>
      </c>
      <c r="J61" s="246" t="s">
        <v>208</v>
      </c>
      <c r="K61" s="211"/>
      <c r="L61" s="74">
        <v>6011</v>
      </c>
      <c r="M61" s="74">
        <v>28120</v>
      </c>
      <c r="O61" s="211" t="e">
        <f ca="1">[1]!ssgxa4(M$55&amp;"-"&amp;I61&amp;"-"&amp;$L61&amp;"-"&amp;$M61,M$49,M$51,M$52,M$53,M$54)</f>
        <v>#NAME?</v>
      </c>
      <c r="P61" s="84" t="e">
        <f ca="1">[1]!ssgxa4(M$55&amp;"-"&amp;I61&amp;"-"&amp;$L61&amp;"-"&amp;$M61,M$50,M$51,M$52,M$53,M$54)</f>
        <v>#NAME?</v>
      </c>
      <c r="Q61" s="134">
        <v>-3</v>
      </c>
      <c r="R61" s="211" t="e">
        <f ca="1">[1]!ssgxa4(M$55&amp;"-"&amp;J61&amp;"-"&amp;$L61&amp;"-"&amp;$M61,M$49,M$51,M$52,M$53,M$54)</f>
        <v>#NAME?</v>
      </c>
      <c r="S61" s="84" t="e">
        <f ca="1">[1]!ssgxa4(M$55&amp;"-"&amp;J61&amp;"-"&amp;$L61&amp;"-"&amp;$M61,M$50,M$51,M$52,M$53,M$54)</f>
        <v>#NAME?</v>
      </c>
      <c r="T61" s="247">
        <v>-5</v>
      </c>
    </row>
    <row r="62" spans="1:25" ht="14.1" customHeight="1" x14ac:dyDescent="0.25">
      <c r="A62" s="78"/>
      <c r="O62" s="211"/>
      <c r="P62" s="249" t="e">
        <f ca="1">SUM(P59:P61)</f>
        <v>#NAME?</v>
      </c>
      <c r="Q62" s="110"/>
      <c r="R62" s="110"/>
      <c r="S62" s="249" t="e">
        <f ca="1">SUM(S59:S61)</f>
        <v>#NAME?</v>
      </c>
      <c r="T62" s="211"/>
    </row>
    <row r="63" spans="1:25" ht="14.1" customHeight="1" x14ac:dyDescent="0.25">
      <c r="O63" s="250"/>
      <c r="P63" s="251"/>
      <c r="Q63" s="250"/>
      <c r="R63" s="250"/>
      <c r="S63" s="251"/>
      <c r="T63" s="211"/>
    </row>
  </sheetData>
  <mergeCells count="16">
    <mergeCell ref="V1:X1"/>
    <mergeCell ref="A2:C2"/>
    <mergeCell ref="D2:E2"/>
    <mergeCell ref="F2:G2"/>
    <mergeCell ref="I2:M2"/>
    <mergeCell ref="O2:S2"/>
    <mergeCell ref="V2:X2"/>
    <mergeCell ref="A5:D5"/>
    <mergeCell ref="V3:X3"/>
    <mergeCell ref="AA3:AB3"/>
    <mergeCell ref="I4:J4"/>
    <mergeCell ref="L4:M4"/>
    <mergeCell ref="O4:P4"/>
    <mergeCell ref="R4:S4"/>
    <mergeCell ref="U4:V4"/>
    <mergeCell ref="X4:Y4"/>
  </mergeCells>
  <printOptions gridLines="1"/>
  <pageMargins left="0" right="0" top="0.75" bottom="0" header="0.35" footer="0.24"/>
  <pageSetup scale="42" orientation="landscape" cellComments="asDisplayed" r:id="rId1"/>
  <headerFooter alignWithMargins="0">
    <oddHeader>&amp;C&amp;18&amp;A&amp;R&amp;18Page 6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12"/>
  <sheetViews>
    <sheetView showGridLines="0" topLeftCell="A16" zoomScaleNormal="100" workbookViewId="0">
      <selection activeCell="F32" sqref="F32"/>
    </sheetView>
  </sheetViews>
  <sheetFormatPr defaultRowHeight="12.75" x14ac:dyDescent="0.2"/>
  <cols>
    <col min="1" max="1" width="21.7109375" style="14" customWidth="1"/>
    <col min="2" max="2" width="26.140625" style="15" customWidth="1"/>
    <col min="3" max="3" width="3.5703125" style="17" bestFit="1" customWidth="1"/>
    <col min="4" max="4" width="4" style="17" bestFit="1" customWidth="1"/>
    <col min="5" max="5" width="13.7109375" style="17" customWidth="1"/>
    <col min="6" max="6" width="15" style="48" bestFit="1" customWidth="1"/>
    <col min="7" max="7" width="12.140625" style="32" customWidth="1"/>
    <col min="8" max="8" width="11.85546875" style="32" bestFit="1" customWidth="1"/>
    <col min="9" max="9" width="14" style="32" bestFit="1" customWidth="1"/>
    <col min="10" max="11" width="16.140625" style="32" bestFit="1" customWidth="1"/>
    <col min="12" max="12" width="14.5703125" style="32" bestFit="1" customWidth="1"/>
    <col min="13" max="13" width="16.85546875" style="32" bestFit="1" customWidth="1"/>
    <col min="14" max="14" width="1.7109375" customWidth="1"/>
    <col min="15" max="15" width="15.5703125" bestFit="1" customWidth="1"/>
    <col min="16" max="16" width="25.28515625" customWidth="1"/>
    <col min="17" max="17" width="19.28515625" bestFit="1" customWidth="1"/>
    <col min="18" max="18" width="11.42578125" bestFit="1" customWidth="1"/>
    <col min="19" max="19" width="17" bestFit="1" customWidth="1"/>
    <col min="20" max="20" width="14.7109375" customWidth="1"/>
    <col min="22" max="22" width="17" bestFit="1" customWidth="1"/>
    <col min="23" max="23" width="13.85546875" bestFit="1" customWidth="1"/>
    <col min="24" max="24" width="31.7109375" customWidth="1"/>
  </cols>
  <sheetData>
    <row r="1" spans="1:24" ht="14.25" customHeight="1" x14ac:dyDescent="0.2">
      <c r="A1" s="14" t="s">
        <v>125</v>
      </c>
      <c r="B1" s="1"/>
      <c r="D1" s="317" t="s">
        <v>94</v>
      </c>
      <c r="E1" s="317"/>
      <c r="F1" s="317"/>
      <c r="G1" s="317"/>
      <c r="H1" s="317"/>
      <c r="I1" s="317"/>
      <c r="J1" s="317"/>
      <c r="K1" s="316"/>
      <c r="L1" s="316"/>
      <c r="M1" s="316"/>
      <c r="N1" s="316"/>
      <c r="O1" s="59"/>
    </row>
    <row r="2" spans="1:24" ht="14.25" customHeight="1" x14ac:dyDescent="0.25">
      <c r="A2" s="14" t="s">
        <v>126</v>
      </c>
      <c r="B2" s="1"/>
      <c r="C2" s="59"/>
      <c r="D2" s="317"/>
      <c r="E2" s="317"/>
      <c r="F2" s="317"/>
      <c r="G2" s="317"/>
      <c r="H2" s="317"/>
      <c r="I2" s="317"/>
      <c r="J2" s="317"/>
      <c r="K2" s="318" t="s">
        <v>0</v>
      </c>
      <c r="L2" s="318"/>
      <c r="M2" s="318"/>
      <c r="N2" s="318"/>
    </row>
    <row r="3" spans="1:24" ht="14.25" customHeight="1" x14ac:dyDescent="0.25">
      <c r="A3" s="319" t="s">
        <v>127</v>
      </c>
      <c r="B3" s="319"/>
      <c r="C3" s="59"/>
      <c r="D3" s="85"/>
      <c r="E3" s="320">
        <f>'Core Cost Incurred'!D2</f>
        <v>42855</v>
      </c>
      <c r="F3" s="320"/>
      <c r="G3" s="320"/>
      <c r="H3" s="320"/>
      <c r="I3" s="320"/>
      <c r="J3" s="320"/>
      <c r="K3" s="321" t="s">
        <v>1</v>
      </c>
      <c r="L3" s="321"/>
      <c r="M3" s="321"/>
      <c r="N3" s="321"/>
    </row>
    <row r="4" spans="1:24" ht="14.25" customHeight="1" x14ac:dyDescent="0.25">
      <c r="A4" s="322" t="s">
        <v>128</v>
      </c>
      <c r="B4" s="322"/>
      <c r="C4" s="59"/>
      <c r="D4" s="85"/>
      <c r="E4" s="320"/>
      <c r="F4" s="320"/>
      <c r="G4" s="320"/>
      <c r="H4" s="320"/>
      <c r="I4" s="320"/>
      <c r="J4" s="320"/>
      <c r="K4" s="323" t="s">
        <v>2</v>
      </c>
      <c r="L4" s="323"/>
      <c r="M4" s="323"/>
      <c r="N4" s="323"/>
    </row>
    <row r="5" spans="1:24" ht="14.25" customHeight="1" x14ac:dyDescent="0.2">
      <c r="C5" s="59"/>
      <c r="D5" s="85"/>
      <c r="E5" s="85"/>
      <c r="F5" s="85"/>
      <c r="G5" s="85"/>
      <c r="H5" s="85"/>
      <c r="I5" s="85"/>
      <c r="J5" s="85"/>
      <c r="K5" s="316"/>
      <c r="L5" s="316"/>
      <c r="M5" s="316"/>
      <c r="N5" s="316"/>
      <c r="O5" s="59"/>
    </row>
    <row r="6" spans="1:24" x14ac:dyDescent="0.2">
      <c r="A6" s="2"/>
      <c r="B6" s="3"/>
      <c r="C6" s="4"/>
      <c r="D6" s="4"/>
      <c r="E6" s="4"/>
      <c r="F6" s="83" t="s">
        <v>95</v>
      </c>
      <c r="G6" s="60" t="s">
        <v>96</v>
      </c>
      <c r="H6" s="60" t="s">
        <v>97</v>
      </c>
      <c r="I6" s="60" t="s">
        <v>3</v>
      </c>
      <c r="J6" s="60" t="s">
        <v>96</v>
      </c>
      <c r="K6" s="60" t="s">
        <v>97</v>
      </c>
      <c r="L6" s="60"/>
      <c r="M6" s="60" t="s">
        <v>98</v>
      </c>
      <c r="O6" s="22"/>
      <c r="P6" s="5"/>
    </row>
    <row r="7" spans="1:24" x14ac:dyDescent="0.2">
      <c r="A7" s="6"/>
      <c r="B7" s="7"/>
      <c r="C7" s="8"/>
      <c r="D7" s="8"/>
      <c r="E7" s="6" t="s">
        <v>4</v>
      </c>
      <c r="F7" s="83" t="s">
        <v>129</v>
      </c>
      <c r="G7" s="60" t="s">
        <v>5</v>
      </c>
      <c r="H7" s="60" t="s">
        <v>5</v>
      </c>
      <c r="I7" s="60" t="s">
        <v>6</v>
      </c>
      <c r="J7" s="60" t="s">
        <v>99</v>
      </c>
      <c r="K7" s="60" t="s">
        <v>99</v>
      </c>
      <c r="L7" s="60" t="s">
        <v>3</v>
      </c>
      <c r="M7" s="60" t="s">
        <v>3</v>
      </c>
      <c r="O7" s="22"/>
      <c r="P7" s="9"/>
      <c r="Q7" s="10"/>
    </row>
    <row r="8" spans="1:24" s="13" customFormat="1" x14ac:dyDescent="0.2">
      <c r="A8" s="61"/>
      <c r="B8" s="62"/>
      <c r="C8" s="61" t="s">
        <v>7</v>
      </c>
      <c r="D8" s="61" t="s">
        <v>8</v>
      </c>
      <c r="E8" s="61" t="s">
        <v>8</v>
      </c>
      <c r="F8" s="86" t="s">
        <v>100</v>
      </c>
      <c r="G8" s="63" t="s">
        <v>130</v>
      </c>
      <c r="H8" s="63" t="str">
        <f>+G8</f>
        <v>Sep 1 2016</v>
      </c>
      <c r="I8" s="63" t="str">
        <f>H8</f>
        <v>Sep 1 2016</v>
      </c>
      <c r="J8" s="64" t="s">
        <v>101</v>
      </c>
      <c r="K8" s="64" t="s">
        <v>101</v>
      </c>
      <c r="L8" s="64" t="s">
        <v>6</v>
      </c>
      <c r="M8" s="64" t="s">
        <v>101</v>
      </c>
      <c r="N8"/>
      <c r="O8" s="22"/>
      <c r="P8" s="11"/>
      <c r="Q8" s="10" t="s">
        <v>9</v>
      </c>
      <c r="R8" s="10" t="s">
        <v>10</v>
      </c>
      <c r="S8" s="10" t="s">
        <v>11</v>
      </c>
      <c r="T8" s="12" t="s">
        <v>12</v>
      </c>
      <c r="U8" s="10" t="s">
        <v>13</v>
      </c>
      <c r="V8" s="10" t="s">
        <v>14</v>
      </c>
      <c r="W8" s="10" t="s">
        <v>15</v>
      </c>
      <c r="X8" s="10" t="s">
        <v>16</v>
      </c>
    </row>
    <row r="9" spans="1:24" ht="15.75" x14ac:dyDescent="0.25">
      <c r="A9" s="65" t="s">
        <v>17</v>
      </c>
      <c r="B9" s="15" t="s">
        <v>18</v>
      </c>
      <c r="C9" s="16">
        <v>1</v>
      </c>
      <c r="D9" s="17" t="s">
        <v>19</v>
      </c>
      <c r="E9" s="18" t="s">
        <v>20</v>
      </c>
      <c r="F9" s="19">
        <v>47319</v>
      </c>
      <c r="G9" s="66">
        <v>0.30640000000000001</v>
      </c>
      <c r="H9" s="66">
        <v>0.1661</v>
      </c>
      <c r="I9" s="66">
        <v>-3.5369999999999999E-2</v>
      </c>
      <c r="J9" s="20">
        <f>ROUND(G9*F9,2)</f>
        <v>14498.54</v>
      </c>
      <c r="K9" s="20">
        <f>ROUND(F9*H9,2)</f>
        <v>7859.69</v>
      </c>
      <c r="L9" s="20">
        <f>ROUND(F9*I9,2)</f>
        <v>-1673.67</v>
      </c>
      <c r="M9" s="20">
        <f>SUM(J9:L9)</f>
        <v>20684.559999999998</v>
      </c>
      <c r="O9" s="21" t="s">
        <v>21</v>
      </c>
      <c r="P9" s="22"/>
      <c r="Q9" t="s">
        <v>22</v>
      </c>
      <c r="T9" s="22">
        <v>0</v>
      </c>
      <c r="X9" t="s">
        <v>23</v>
      </c>
    </row>
    <row r="10" spans="1:24" ht="15" x14ac:dyDescent="0.2">
      <c r="A10" s="65" t="s">
        <v>17</v>
      </c>
      <c r="B10" s="15" t="s">
        <v>24</v>
      </c>
      <c r="C10" s="16">
        <v>1</v>
      </c>
      <c r="D10" s="17" t="s">
        <v>25</v>
      </c>
      <c r="E10" s="18" t="s">
        <v>26</v>
      </c>
      <c r="F10" s="23">
        <v>0</v>
      </c>
      <c r="G10" s="67">
        <f>$G$9</f>
        <v>0.30640000000000001</v>
      </c>
      <c r="H10" s="67">
        <f>$H$9</f>
        <v>0.1661</v>
      </c>
      <c r="I10" s="67">
        <f>$I$9</f>
        <v>-3.5369999999999999E-2</v>
      </c>
      <c r="J10" s="20">
        <f>ROUND(G10*F10,2)</f>
        <v>0</v>
      </c>
      <c r="K10" s="20">
        <f>ROUND(F10*H10,2)</f>
        <v>0</v>
      </c>
      <c r="L10" s="20">
        <f>ROUND(F10*I10,2)</f>
        <v>0</v>
      </c>
      <c r="M10" s="20">
        <f>SUM(J10:L10)</f>
        <v>0</v>
      </c>
      <c r="O10" s="21" t="s">
        <v>21</v>
      </c>
      <c r="P10" s="22"/>
      <c r="Q10" t="s">
        <v>22</v>
      </c>
      <c r="T10" s="22">
        <v>0</v>
      </c>
      <c r="X10" t="s">
        <v>27</v>
      </c>
    </row>
    <row r="11" spans="1:24" ht="15.75" x14ac:dyDescent="0.25">
      <c r="A11" s="65" t="s">
        <v>17</v>
      </c>
      <c r="B11" s="15" t="s">
        <v>28</v>
      </c>
      <c r="C11" s="16">
        <v>1</v>
      </c>
      <c r="D11" s="17" t="s">
        <v>29</v>
      </c>
      <c r="E11" s="18" t="s">
        <v>30</v>
      </c>
      <c r="F11" s="19">
        <v>11361052</v>
      </c>
      <c r="G11" s="67">
        <f t="shared" ref="G11:G13" si="0">$G$9</f>
        <v>0.30640000000000001</v>
      </c>
      <c r="H11" s="66">
        <v>0.16864000000000001</v>
      </c>
      <c r="I11" s="67">
        <f>$I$9</f>
        <v>-3.5369999999999999E-2</v>
      </c>
      <c r="J11" s="20">
        <f>ROUND(G11*F11,2)</f>
        <v>3481026.33</v>
      </c>
      <c r="K11" s="20">
        <f>ROUND(F11*H11,2)</f>
        <v>1915927.81</v>
      </c>
      <c r="L11" s="20">
        <f>ROUND(F11*I11,2)</f>
        <v>-401840.41</v>
      </c>
      <c r="M11" s="20">
        <f>SUM(J11:L11)</f>
        <v>4995113.7300000004</v>
      </c>
      <c r="O11" s="21" t="s">
        <v>21</v>
      </c>
      <c r="P11" s="22"/>
      <c r="Q11" t="s">
        <v>22</v>
      </c>
      <c r="T11" s="22">
        <v>0</v>
      </c>
      <c r="X11" t="s">
        <v>31</v>
      </c>
    </row>
    <row r="12" spans="1:24" ht="15.75" x14ac:dyDescent="0.25">
      <c r="A12" s="65" t="s">
        <v>32</v>
      </c>
      <c r="B12" s="15" t="s">
        <v>131</v>
      </c>
      <c r="C12" s="16">
        <v>1</v>
      </c>
      <c r="D12" s="17" t="s">
        <v>29</v>
      </c>
      <c r="E12" s="18" t="s">
        <v>30</v>
      </c>
      <c r="F12" s="24">
        <v>-8811624</v>
      </c>
      <c r="G12" s="67">
        <f t="shared" si="0"/>
        <v>0.30640000000000001</v>
      </c>
      <c r="H12" s="67">
        <f>$H$11</f>
        <v>0.16864000000000001</v>
      </c>
      <c r="I12" s="67"/>
      <c r="J12" s="20">
        <f>ROUND(G12*F12,2)</f>
        <v>-2699881.59</v>
      </c>
      <c r="K12" s="20">
        <f>ROUND(F12*H12,2)</f>
        <v>-1485992.27</v>
      </c>
      <c r="L12" s="25"/>
      <c r="M12" s="20">
        <f>SUM(J12:L12)</f>
        <v>-4185873.86</v>
      </c>
      <c r="O12" s="27" t="s">
        <v>33</v>
      </c>
      <c r="P12" s="22"/>
      <c r="Q12" t="s">
        <v>22</v>
      </c>
      <c r="T12" s="22">
        <v>0</v>
      </c>
      <c r="X12" t="s">
        <v>31</v>
      </c>
    </row>
    <row r="13" spans="1:24" ht="15.75" x14ac:dyDescent="0.25">
      <c r="A13" s="65" t="s">
        <v>32</v>
      </c>
      <c r="B13" s="15" t="s">
        <v>132</v>
      </c>
      <c r="C13" s="16">
        <v>1</v>
      </c>
      <c r="D13" s="17" t="s">
        <v>29</v>
      </c>
      <c r="E13" s="18" t="s">
        <v>30</v>
      </c>
      <c r="F13" s="24">
        <v>7418070</v>
      </c>
      <c r="G13" s="67">
        <f t="shared" si="0"/>
        <v>0.30640000000000001</v>
      </c>
      <c r="H13" s="67">
        <f>$H$11</f>
        <v>0.16864000000000001</v>
      </c>
      <c r="I13" s="67"/>
      <c r="J13" s="20">
        <f>ROUND(G13*F13,2)</f>
        <v>2272896.65</v>
      </c>
      <c r="K13" s="20">
        <f>ROUND(F13*H13,2)</f>
        <v>1250983.32</v>
      </c>
      <c r="L13" s="25"/>
      <c r="M13" s="20">
        <f>SUM(J13:L13)</f>
        <v>3523879.9699999997</v>
      </c>
      <c r="O13" s="27" t="s">
        <v>33</v>
      </c>
      <c r="P13" s="22"/>
      <c r="Q13" t="s">
        <v>22</v>
      </c>
      <c r="T13" s="22">
        <v>0</v>
      </c>
      <c r="X13" t="s">
        <v>31</v>
      </c>
    </row>
    <row r="14" spans="1:24" ht="12" customHeight="1" x14ac:dyDescent="0.2">
      <c r="A14" s="65"/>
      <c r="C14" s="16"/>
      <c r="E14" s="18"/>
      <c r="F14" s="23"/>
      <c r="G14" s="67"/>
      <c r="H14" s="67"/>
      <c r="I14" s="67"/>
      <c r="J14" s="20"/>
      <c r="K14" s="20"/>
      <c r="L14" s="20"/>
      <c r="M14" s="20"/>
      <c r="O14" s="21"/>
      <c r="P14" s="22"/>
      <c r="T14" s="22"/>
    </row>
    <row r="15" spans="1:24" ht="15" x14ac:dyDescent="0.2">
      <c r="A15" s="65" t="s">
        <v>34</v>
      </c>
      <c r="B15" s="15" t="s">
        <v>35</v>
      </c>
      <c r="C15" s="16">
        <v>2</v>
      </c>
      <c r="D15" s="17" t="s">
        <v>19</v>
      </c>
      <c r="E15" s="18" t="s">
        <v>20</v>
      </c>
      <c r="F15" s="23">
        <v>0</v>
      </c>
      <c r="G15" s="67">
        <f t="shared" ref="G15:G18" si="1">$G$9</f>
        <v>0.30640000000000001</v>
      </c>
      <c r="H15" s="67">
        <f t="shared" ref="H15:H18" si="2">$H$9</f>
        <v>0.1661</v>
      </c>
      <c r="I15" s="67">
        <f t="shared" ref="I15:I16" si="3">$I$9</f>
        <v>-3.5369999999999999E-2</v>
      </c>
      <c r="J15" s="20">
        <f>ROUND(G15*F15,2)</f>
        <v>0</v>
      </c>
      <c r="K15" s="20">
        <f>ROUND(F15*H15,2)</f>
        <v>0</v>
      </c>
      <c r="L15" s="20">
        <f>ROUND(F15*I15,2)</f>
        <v>0</v>
      </c>
      <c r="M15" s="20">
        <f>SUM(J15:L15)</f>
        <v>0</v>
      </c>
      <c r="O15" s="21" t="s">
        <v>21</v>
      </c>
      <c r="P15" s="22"/>
      <c r="Q15" t="s">
        <v>22</v>
      </c>
      <c r="T15" s="22">
        <v>0</v>
      </c>
      <c r="X15" t="s">
        <v>36</v>
      </c>
    </row>
    <row r="16" spans="1:24" ht="15.75" x14ac:dyDescent="0.25">
      <c r="A16" s="65" t="s">
        <v>34</v>
      </c>
      <c r="B16" s="15" t="s">
        <v>37</v>
      </c>
      <c r="C16" s="16">
        <v>2</v>
      </c>
      <c r="D16" s="17" t="s">
        <v>38</v>
      </c>
      <c r="E16" s="18" t="s">
        <v>39</v>
      </c>
      <c r="F16" s="19">
        <v>7654821</v>
      </c>
      <c r="G16" s="67">
        <f t="shared" si="1"/>
        <v>0.30640000000000001</v>
      </c>
      <c r="H16" s="67">
        <f t="shared" si="2"/>
        <v>0.1661</v>
      </c>
      <c r="I16" s="67">
        <f t="shared" si="3"/>
        <v>-3.5369999999999999E-2</v>
      </c>
      <c r="J16" s="20">
        <f>ROUND(G16*F16,2)</f>
        <v>2345437.15</v>
      </c>
      <c r="K16" s="20">
        <f>ROUND(F16*H16,2)</f>
        <v>1271465.77</v>
      </c>
      <c r="L16" s="20">
        <f>ROUND(F16*I16,2)</f>
        <v>-270751.02</v>
      </c>
      <c r="M16" s="20">
        <f>SUM(J16:L16)</f>
        <v>3346151.9</v>
      </c>
      <c r="O16" s="21" t="s">
        <v>21</v>
      </c>
      <c r="P16" s="22"/>
      <c r="Q16" t="s">
        <v>22</v>
      </c>
      <c r="T16" s="22">
        <v>0</v>
      </c>
      <c r="X16" t="s">
        <v>40</v>
      </c>
    </row>
    <row r="17" spans="1:24" ht="15.75" x14ac:dyDescent="0.25">
      <c r="A17" s="65" t="s">
        <v>41</v>
      </c>
      <c r="B17" s="15" t="s">
        <v>133</v>
      </c>
      <c r="C17" s="16">
        <v>2</v>
      </c>
      <c r="D17" s="17" t="s">
        <v>38</v>
      </c>
      <c r="E17" s="18" t="s">
        <v>39</v>
      </c>
      <c r="F17" s="24">
        <v>-6630674</v>
      </c>
      <c r="G17" s="67">
        <f t="shared" si="1"/>
        <v>0.30640000000000001</v>
      </c>
      <c r="H17" s="67">
        <f t="shared" si="2"/>
        <v>0.1661</v>
      </c>
      <c r="I17" s="67"/>
      <c r="J17" s="20">
        <f>ROUND(G17*F17,2)</f>
        <v>-2031638.51</v>
      </c>
      <c r="K17" s="20">
        <f>ROUND(F17*H17,2)</f>
        <v>-1101354.95</v>
      </c>
      <c r="L17" s="25"/>
      <c r="M17" s="20">
        <f>SUM(J17:L17)</f>
        <v>-3132993.46</v>
      </c>
      <c r="O17" s="27" t="s">
        <v>33</v>
      </c>
      <c r="P17" s="22"/>
      <c r="Q17" t="s">
        <v>22</v>
      </c>
      <c r="T17" s="22">
        <v>0</v>
      </c>
      <c r="X17" t="s">
        <v>40</v>
      </c>
    </row>
    <row r="18" spans="1:24" ht="15.75" x14ac:dyDescent="0.25">
      <c r="A18" s="65" t="s">
        <v>41</v>
      </c>
      <c r="B18" s="15" t="s">
        <v>134</v>
      </c>
      <c r="C18" s="16">
        <v>2</v>
      </c>
      <c r="D18" s="17" t="s">
        <v>38</v>
      </c>
      <c r="E18" s="18" t="s">
        <v>39</v>
      </c>
      <c r="F18" s="24">
        <v>5535476</v>
      </c>
      <c r="G18" s="67">
        <f t="shared" si="1"/>
        <v>0.30640000000000001</v>
      </c>
      <c r="H18" s="67">
        <f t="shared" si="2"/>
        <v>0.1661</v>
      </c>
      <c r="I18" s="67"/>
      <c r="J18" s="20">
        <f>ROUND(G18*F18,2)</f>
        <v>1696069.85</v>
      </c>
      <c r="K18" s="20">
        <f>ROUND(F18*H18,2)</f>
        <v>919442.56</v>
      </c>
      <c r="L18" s="25"/>
      <c r="M18" s="20">
        <f>SUM(J18:L18)</f>
        <v>2615512.41</v>
      </c>
      <c r="O18" s="27" t="s">
        <v>33</v>
      </c>
      <c r="P18" s="22"/>
      <c r="Q18" t="s">
        <v>22</v>
      </c>
      <c r="T18" s="22">
        <v>0</v>
      </c>
      <c r="X18" t="s">
        <v>40</v>
      </c>
    </row>
    <row r="19" spans="1:24" ht="12" customHeight="1" x14ac:dyDescent="0.2">
      <c r="A19" s="65"/>
      <c r="C19" s="16"/>
      <c r="E19" s="18"/>
      <c r="F19" s="23"/>
      <c r="G19" s="67"/>
      <c r="H19" s="67"/>
      <c r="I19" s="67"/>
      <c r="J19" s="20"/>
      <c r="K19" s="20"/>
      <c r="L19" s="20"/>
      <c r="M19" s="20"/>
      <c r="O19" s="28"/>
      <c r="P19" s="22"/>
      <c r="T19" s="22"/>
    </row>
    <row r="20" spans="1:24" ht="15.75" x14ac:dyDescent="0.25">
      <c r="A20" s="65" t="s">
        <v>34</v>
      </c>
      <c r="B20" s="15" t="s">
        <v>42</v>
      </c>
      <c r="C20" s="16">
        <v>2</v>
      </c>
      <c r="D20" s="17" t="s">
        <v>43</v>
      </c>
      <c r="E20" s="18" t="s">
        <v>44</v>
      </c>
      <c r="F20" s="19">
        <v>906905</v>
      </c>
      <c r="G20" s="67">
        <f t="shared" ref="G20:G25" si="4">$G$9</f>
        <v>0.30640000000000001</v>
      </c>
      <c r="H20" s="66">
        <v>0.15354999999999999</v>
      </c>
      <c r="I20" s="67">
        <f t="shared" ref="I20:I25" si="5">$I$9</f>
        <v>-3.5369999999999999E-2</v>
      </c>
      <c r="J20" s="20">
        <f t="shared" ref="J20:J25" si="6">ROUND(G20*F20,2)</f>
        <v>277875.69</v>
      </c>
      <c r="K20" s="20">
        <f t="shared" ref="K20:K25" si="7">ROUND(F20*H20,2)</f>
        <v>139255.26</v>
      </c>
      <c r="L20" s="20">
        <f t="shared" ref="L20:L25" si="8">ROUND(F20*I20,2)</f>
        <v>-32077.23</v>
      </c>
      <c r="M20" s="20">
        <f t="shared" ref="M20:M25" si="9">SUM(J20:L20)</f>
        <v>385053.72000000003</v>
      </c>
      <c r="O20" s="21" t="s">
        <v>21</v>
      </c>
      <c r="P20" s="22"/>
      <c r="Q20" t="s">
        <v>22</v>
      </c>
      <c r="T20" s="22">
        <v>0</v>
      </c>
      <c r="X20" t="s">
        <v>45</v>
      </c>
    </row>
    <row r="21" spans="1:24" ht="15.75" x14ac:dyDescent="0.25">
      <c r="A21" s="65" t="s">
        <v>34</v>
      </c>
      <c r="B21" s="15" t="s">
        <v>46</v>
      </c>
      <c r="C21" s="16">
        <v>2</v>
      </c>
      <c r="D21" s="17" t="s">
        <v>47</v>
      </c>
      <c r="E21" s="18" t="s">
        <v>48</v>
      </c>
      <c r="F21" s="19">
        <v>3661</v>
      </c>
      <c r="G21" s="67">
        <f t="shared" si="4"/>
        <v>0.30640000000000001</v>
      </c>
      <c r="H21" s="67">
        <f>$H$9</f>
        <v>0.1661</v>
      </c>
      <c r="I21" s="67">
        <f t="shared" si="5"/>
        <v>-3.5369999999999999E-2</v>
      </c>
      <c r="J21" s="20">
        <f t="shared" si="6"/>
        <v>1121.73</v>
      </c>
      <c r="K21" s="20">
        <f t="shared" si="7"/>
        <v>608.09</v>
      </c>
      <c r="L21" s="20">
        <f t="shared" si="8"/>
        <v>-129.49</v>
      </c>
      <c r="M21" s="20">
        <f t="shared" si="9"/>
        <v>1600.3300000000002</v>
      </c>
      <c r="O21" s="21" t="s">
        <v>21</v>
      </c>
      <c r="P21" s="29"/>
      <c r="Q21" t="s">
        <v>22</v>
      </c>
      <c r="T21" s="22">
        <v>0</v>
      </c>
      <c r="X21" t="s">
        <v>49</v>
      </c>
    </row>
    <row r="22" spans="1:24" ht="15" x14ac:dyDescent="0.2">
      <c r="A22" s="65" t="s">
        <v>34</v>
      </c>
      <c r="B22" s="15" t="s">
        <v>50</v>
      </c>
      <c r="C22" s="16">
        <v>2</v>
      </c>
      <c r="D22" s="17" t="s">
        <v>25</v>
      </c>
      <c r="E22" s="18" t="s">
        <v>26</v>
      </c>
      <c r="F22" s="23">
        <v>0</v>
      </c>
      <c r="G22" s="67">
        <f t="shared" si="4"/>
        <v>0.30640000000000001</v>
      </c>
      <c r="H22" s="67">
        <f>$H$9</f>
        <v>0.1661</v>
      </c>
      <c r="I22" s="67">
        <f t="shared" si="5"/>
        <v>-3.5369999999999999E-2</v>
      </c>
      <c r="J22" s="20">
        <f t="shared" si="6"/>
        <v>0</v>
      </c>
      <c r="K22" s="20">
        <f t="shared" si="7"/>
        <v>0</v>
      </c>
      <c r="L22" s="20">
        <f t="shared" si="8"/>
        <v>0</v>
      </c>
      <c r="M22" s="20">
        <f t="shared" si="9"/>
        <v>0</v>
      </c>
      <c r="O22" s="21" t="s">
        <v>21</v>
      </c>
      <c r="P22" s="29"/>
      <c r="Q22" t="s">
        <v>22</v>
      </c>
      <c r="T22" s="22">
        <v>0</v>
      </c>
      <c r="X22" t="s">
        <v>51</v>
      </c>
    </row>
    <row r="23" spans="1:24" ht="15" x14ac:dyDescent="0.2">
      <c r="A23" s="65" t="s">
        <v>34</v>
      </c>
      <c r="B23" s="15" t="s">
        <v>42</v>
      </c>
      <c r="C23" s="16">
        <v>2</v>
      </c>
      <c r="D23" s="17" t="s">
        <v>43</v>
      </c>
      <c r="E23" s="18" t="s">
        <v>52</v>
      </c>
      <c r="F23" s="23">
        <v>0</v>
      </c>
      <c r="G23" s="67">
        <f t="shared" si="4"/>
        <v>0.30640000000000001</v>
      </c>
      <c r="H23" s="67">
        <f>$H$20</f>
        <v>0.15354999999999999</v>
      </c>
      <c r="I23" s="67">
        <f t="shared" si="5"/>
        <v>-3.5369999999999999E-2</v>
      </c>
      <c r="J23" s="20">
        <f t="shared" si="6"/>
        <v>0</v>
      </c>
      <c r="K23" s="20">
        <f t="shared" si="7"/>
        <v>0</v>
      </c>
      <c r="L23" s="20">
        <f t="shared" si="8"/>
        <v>0</v>
      </c>
      <c r="M23" s="20">
        <f t="shared" si="9"/>
        <v>0</v>
      </c>
      <c r="O23" s="21" t="s">
        <v>21</v>
      </c>
      <c r="P23" s="22"/>
      <c r="Q23" t="s">
        <v>22</v>
      </c>
      <c r="T23" s="22">
        <v>0</v>
      </c>
      <c r="X23" t="s">
        <v>45</v>
      </c>
    </row>
    <row r="24" spans="1:24" ht="15" x14ac:dyDescent="0.2">
      <c r="A24" s="65" t="s">
        <v>41</v>
      </c>
      <c r="B24" s="15" t="s">
        <v>53</v>
      </c>
      <c r="C24" s="16">
        <v>2</v>
      </c>
      <c r="D24" s="17" t="s">
        <v>43</v>
      </c>
      <c r="E24" s="18" t="s">
        <v>52</v>
      </c>
      <c r="F24" s="68"/>
      <c r="G24" s="67">
        <f t="shared" si="4"/>
        <v>0.30640000000000001</v>
      </c>
      <c r="H24" s="67">
        <f>$H$20</f>
        <v>0.15354999999999999</v>
      </c>
      <c r="I24" s="67">
        <f t="shared" si="5"/>
        <v>-3.5369999999999999E-2</v>
      </c>
      <c r="J24" s="20">
        <f t="shared" si="6"/>
        <v>0</v>
      </c>
      <c r="K24" s="20">
        <f t="shared" si="7"/>
        <v>0</v>
      </c>
      <c r="L24" s="20">
        <f t="shared" si="8"/>
        <v>0</v>
      </c>
      <c r="M24" s="20">
        <f t="shared" si="9"/>
        <v>0</v>
      </c>
      <c r="O24" s="28"/>
      <c r="P24" s="30"/>
      <c r="Q24" t="s">
        <v>22</v>
      </c>
      <c r="T24" s="22">
        <v>0</v>
      </c>
      <c r="X24" t="s">
        <v>45</v>
      </c>
    </row>
    <row r="25" spans="1:24" ht="15" x14ac:dyDescent="0.2">
      <c r="A25" s="65" t="s">
        <v>41</v>
      </c>
      <c r="B25" s="15" t="s">
        <v>54</v>
      </c>
      <c r="C25" s="16">
        <v>2</v>
      </c>
      <c r="D25" s="17" t="s">
        <v>43</v>
      </c>
      <c r="E25" s="18" t="s">
        <v>52</v>
      </c>
      <c r="F25" s="68"/>
      <c r="G25" s="67">
        <f t="shared" si="4"/>
        <v>0.30640000000000001</v>
      </c>
      <c r="H25" s="67">
        <f>$H$20</f>
        <v>0.15354999999999999</v>
      </c>
      <c r="I25" s="67">
        <f t="shared" si="5"/>
        <v>-3.5369999999999999E-2</v>
      </c>
      <c r="J25" s="20">
        <f t="shared" si="6"/>
        <v>0</v>
      </c>
      <c r="K25" s="20">
        <f t="shared" si="7"/>
        <v>0</v>
      </c>
      <c r="L25" s="20">
        <f t="shared" si="8"/>
        <v>0</v>
      </c>
      <c r="M25" s="20">
        <f t="shared" si="9"/>
        <v>0</v>
      </c>
      <c r="O25" s="28"/>
      <c r="P25" s="30"/>
      <c r="Q25" t="s">
        <v>22</v>
      </c>
      <c r="T25" s="22">
        <v>0</v>
      </c>
      <c r="X25" t="s">
        <v>45</v>
      </c>
    </row>
    <row r="26" spans="1:24" ht="12" customHeight="1" x14ac:dyDescent="0.2">
      <c r="A26" s="65"/>
      <c r="C26" s="16"/>
      <c r="E26" s="18"/>
      <c r="F26" s="69"/>
      <c r="G26" s="70"/>
      <c r="H26" s="67"/>
      <c r="I26" s="67"/>
      <c r="J26" s="20"/>
      <c r="K26" s="20"/>
      <c r="L26" s="20"/>
      <c r="M26" s="20"/>
      <c r="O26" s="28"/>
      <c r="P26" s="30"/>
      <c r="T26" s="22"/>
    </row>
    <row r="27" spans="1:24" ht="15.75" x14ac:dyDescent="0.25">
      <c r="A27" s="65" t="s">
        <v>55</v>
      </c>
      <c r="B27" s="15" t="s">
        <v>56</v>
      </c>
      <c r="C27" s="16">
        <v>3</v>
      </c>
      <c r="D27" s="17" t="s">
        <v>57</v>
      </c>
      <c r="E27" s="18" t="s">
        <v>58</v>
      </c>
      <c r="F27" s="19">
        <v>951736</v>
      </c>
      <c r="G27" s="67">
        <f t="shared" ref="G27:G29" si="10">$G$9</f>
        <v>0.30640000000000001</v>
      </c>
      <c r="H27" s="67">
        <f>$H$20</f>
        <v>0.15354999999999999</v>
      </c>
      <c r="I27" s="67">
        <f t="shared" ref="I27:I29" si="11">$I$9</f>
        <v>-3.5369999999999999E-2</v>
      </c>
      <c r="J27" s="20">
        <f>ROUND(G27*F27,2)</f>
        <v>291611.90999999997</v>
      </c>
      <c r="K27" s="20">
        <f>ROUND(F27*H27,2)</f>
        <v>146139.06</v>
      </c>
      <c r="L27" s="20">
        <f>ROUND(F27*I27,2)</f>
        <v>-33662.9</v>
      </c>
      <c r="M27" s="20">
        <f>SUM(J27:L27)</f>
        <v>404088.06999999995</v>
      </c>
      <c r="O27" s="21" t="s">
        <v>21</v>
      </c>
      <c r="P27" s="29"/>
      <c r="Q27" t="s">
        <v>22</v>
      </c>
      <c r="T27" s="22">
        <v>0</v>
      </c>
      <c r="X27" t="s">
        <v>59</v>
      </c>
    </row>
    <row r="28" spans="1:24" ht="15.75" x14ac:dyDescent="0.25">
      <c r="A28" s="65" t="s">
        <v>55</v>
      </c>
      <c r="B28" s="15" t="s">
        <v>60</v>
      </c>
      <c r="C28" s="16">
        <v>3</v>
      </c>
      <c r="D28" s="17" t="s">
        <v>43</v>
      </c>
      <c r="E28" s="18" t="s">
        <v>44</v>
      </c>
      <c r="F28" s="19">
        <v>235525</v>
      </c>
      <c r="G28" s="67">
        <f t="shared" si="10"/>
        <v>0.30640000000000001</v>
      </c>
      <c r="H28" s="67">
        <f>$H$20</f>
        <v>0.15354999999999999</v>
      </c>
      <c r="I28" s="67">
        <f t="shared" si="11"/>
        <v>-3.5369999999999999E-2</v>
      </c>
      <c r="J28" s="20">
        <f>ROUND(G28*F28,2)</f>
        <v>72164.86</v>
      </c>
      <c r="K28" s="20">
        <f>ROUND(F28*H28,2)</f>
        <v>36164.86</v>
      </c>
      <c r="L28" s="20">
        <f>ROUND(F28*I28,2)</f>
        <v>-8330.52</v>
      </c>
      <c r="M28" s="20">
        <f>SUM(J28:L28)</f>
        <v>99999.2</v>
      </c>
      <c r="O28" s="21" t="s">
        <v>21</v>
      </c>
      <c r="P28" s="29"/>
      <c r="Q28" t="s">
        <v>22</v>
      </c>
      <c r="T28" s="22">
        <v>0</v>
      </c>
      <c r="X28" t="s">
        <v>61</v>
      </c>
    </row>
    <row r="29" spans="1:24" ht="15" x14ac:dyDescent="0.2">
      <c r="A29" s="65" t="s">
        <v>55</v>
      </c>
      <c r="B29" s="15" t="s">
        <v>62</v>
      </c>
      <c r="C29" s="16">
        <v>3</v>
      </c>
      <c r="D29" s="17" t="s">
        <v>47</v>
      </c>
      <c r="E29" s="18" t="s">
        <v>48</v>
      </c>
      <c r="F29" s="23">
        <v>0</v>
      </c>
      <c r="G29" s="67">
        <f t="shared" si="10"/>
        <v>0.30640000000000001</v>
      </c>
      <c r="H29" s="67">
        <f>$H$9</f>
        <v>0.1661</v>
      </c>
      <c r="I29" s="67">
        <f t="shared" si="11"/>
        <v>-3.5369999999999999E-2</v>
      </c>
      <c r="J29" s="20">
        <f>ROUND(G29*F29,2)</f>
        <v>0</v>
      </c>
      <c r="K29" s="20">
        <f>ROUND(F29*H29,2)</f>
        <v>0</v>
      </c>
      <c r="L29" s="20">
        <f>ROUND(F29*I29,2)</f>
        <v>0</v>
      </c>
      <c r="M29" s="20">
        <f>SUM(J29:L29)</f>
        <v>0</v>
      </c>
      <c r="O29" s="28"/>
      <c r="P29" s="22"/>
      <c r="Q29" t="s">
        <v>22</v>
      </c>
      <c r="T29" s="22">
        <v>0</v>
      </c>
      <c r="X29" t="s">
        <v>63</v>
      </c>
    </row>
    <row r="30" spans="1:24" ht="12" customHeight="1" x14ac:dyDescent="0.2">
      <c r="A30" s="65"/>
      <c r="C30" s="16"/>
      <c r="E30" s="18"/>
      <c r="F30" s="23"/>
      <c r="G30" s="67"/>
      <c r="H30" s="67"/>
      <c r="I30" s="67"/>
      <c r="J30" s="20"/>
      <c r="K30" s="20"/>
      <c r="L30" s="20"/>
      <c r="M30" s="20"/>
      <c r="O30" s="28"/>
      <c r="P30" s="22"/>
      <c r="T30" s="22"/>
    </row>
    <row r="31" spans="1:24" ht="15" x14ac:dyDescent="0.2">
      <c r="A31" s="65" t="s">
        <v>55</v>
      </c>
      <c r="B31" s="15" t="s">
        <v>64</v>
      </c>
      <c r="C31" s="16">
        <v>3</v>
      </c>
      <c r="D31" s="17" t="s">
        <v>57</v>
      </c>
      <c r="E31" s="18" t="s">
        <v>65</v>
      </c>
      <c r="F31" s="23"/>
      <c r="G31" s="67">
        <f t="shared" ref="G31:G33" si="12">$G$9</f>
        <v>0.30640000000000001</v>
      </c>
      <c r="H31" s="67">
        <f>$H$20</f>
        <v>0.15354999999999999</v>
      </c>
      <c r="I31" s="67">
        <f t="shared" ref="I31:I33" si="13">$I$9</f>
        <v>-3.5369999999999999E-2</v>
      </c>
      <c r="J31" s="20">
        <f t="shared" ref="J31:J33" si="14">ROUND(G31*F31,2)</f>
        <v>0</v>
      </c>
      <c r="K31" s="20">
        <f t="shared" ref="K31:K33" si="15">ROUND(F31*H31,2)</f>
        <v>0</v>
      </c>
      <c r="L31" s="20">
        <f t="shared" ref="L31:L33" si="16">ROUND(F31*I31,2)</f>
        <v>0</v>
      </c>
      <c r="M31" s="20">
        <f t="shared" ref="M31:M33" si="17">SUM(J31:L31)</f>
        <v>0</v>
      </c>
      <c r="O31" s="21" t="s">
        <v>21</v>
      </c>
      <c r="P31" s="29"/>
      <c r="Q31" t="s">
        <v>22</v>
      </c>
      <c r="T31" s="22">
        <v>0</v>
      </c>
      <c r="X31" t="s">
        <v>59</v>
      </c>
    </row>
    <row r="32" spans="1:24" ht="15" x14ac:dyDescent="0.2">
      <c r="A32" s="65" t="s">
        <v>66</v>
      </c>
      <c r="B32" s="15" t="s">
        <v>53</v>
      </c>
      <c r="C32" s="16">
        <v>3</v>
      </c>
      <c r="D32" s="17" t="s">
        <v>57</v>
      </c>
      <c r="E32" s="18" t="s">
        <v>65</v>
      </c>
      <c r="F32" s="71"/>
      <c r="G32" s="67">
        <f t="shared" si="12"/>
        <v>0.30640000000000001</v>
      </c>
      <c r="H32" s="67">
        <f>$H$20</f>
        <v>0.15354999999999999</v>
      </c>
      <c r="I32" s="67">
        <f t="shared" si="13"/>
        <v>-3.5369999999999999E-2</v>
      </c>
      <c r="J32" s="20">
        <f t="shared" si="14"/>
        <v>0</v>
      </c>
      <c r="K32" s="20">
        <f t="shared" si="15"/>
        <v>0</v>
      </c>
      <c r="L32" s="20">
        <f t="shared" si="16"/>
        <v>0</v>
      </c>
      <c r="M32" s="20">
        <f t="shared" si="17"/>
        <v>0</v>
      </c>
      <c r="O32" s="28"/>
      <c r="P32" s="30"/>
      <c r="Q32" t="s">
        <v>22</v>
      </c>
      <c r="T32" s="22">
        <v>0</v>
      </c>
      <c r="X32" t="s">
        <v>59</v>
      </c>
    </row>
    <row r="33" spans="1:24" ht="15" x14ac:dyDescent="0.2">
      <c r="A33" s="65" t="s">
        <v>66</v>
      </c>
      <c r="B33" s="15" t="s">
        <v>54</v>
      </c>
      <c r="C33" s="16">
        <v>3</v>
      </c>
      <c r="D33" s="17" t="s">
        <v>57</v>
      </c>
      <c r="E33" s="18" t="s">
        <v>65</v>
      </c>
      <c r="F33" s="71"/>
      <c r="G33" s="67">
        <f t="shared" si="12"/>
        <v>0.30640000000000001</v>
      </c>
      <c r="H33" s="67">
        <f>$H$20</f>
        <v>0.15354999999999999</v>
      </c>
      <c r="I33" s="67">
        <f t="shared" si="13"/>
        <v>-3.5369999999999999E-2</v>
      </c>
      <c r="J33" s="20">
        <f t="shared" si="14"/>
        <v>0</v>
      </c>
      <c r="K33" s="20">
        <f t="shared" si="15"/>
        <v>0</v>
      </c>
      <c r="L33" s="20">
        <f t="shared" si="16"/>
        <v>0</v>
      </c>
      <c r="M33" s="20">
        <f t="shared" si="17"/>
        <v>0</v>
      </c>
      <c r="O33" s="28"/>
      <c r="P33" s="30"/>
      <c r="Q33" t="s">
        <v>22</v>
      </c>
      <c r="T33" s="22">
        <v>0</v>
      </c>
      <c r="X33" t="s">
        <v>59</v>
      </c>
    </row>
    <row r="34" spans="1:24" ht="12" customHeight="1" x14ac:dyDescent="0.2">
      <c r="A34" s="65"/>
      <c r="C34" s="16"/>
      <c r="E34" s="18"/>
      <c r="F34" s="23"/>
      <c r="G34" s="67"/>
      <c r="H34" s="67"/>
      <c r="I34" s="67"/>
      <c r="J34" s="20"/>
      <c r="K34" s="20"/>
      <c r="L34" s="20"/>
      <c r="M34" s="20"/>
      <c r="O34" s="28"/>
      <c r="P34" s="29"/>
      <c r="T34" s="22"/>
    </row>
    <row r="35" spans="1:24" ht="15" x14ac:dyDescent="0.2">
      <c r="A35" s="65" t="s">
        <v>67</v>
      </c>
      <c r="B35" s="15" t="s">
        <v>68</v>
      </c>
      <c r="C35" s="16" t="s">
        <v>69</v>
      </c>
      <c r="D35" s="17" t="s">
        <v>70</v>
      </c>
      <c r="E35" s="18" t="s">
        <v>71</v>
      </c>
      <c r="F35" s="23"/>
      <c r="G35" s="67">
        <f t="shared" ref="G35:G37" si="18">$G$9</f>
        <v>0.30640000000000001</v>
      </c>
      <c r="H35" s="66">
        <v>0.14105000000000001</v>
      </c>
      <c r="I35" s="67">
        <f t="shared" ref="I35:I37" si="19">$I$9</f>
        <v>-3.5369999999999999E-2</v>
      </c>
      <c r="J35" s="20">
        <f>ROUND(G35*F35,2)</f>
        <v>0</v>
      </c>
      <c r="K35" s="20">
        <f>ROUND(F35*H35,2)</f>
        <v>0</v>
      </c>
      <c r="L35" s="20">
        <f>ROUND(F35*I35,2)</f>
        <v>0</v>
      </c>
      <c r="M35" s="20">
        <f>SUM(J35:L35)</f>
        <v>0</v>
      </c>
      <c r="O35" s="28"/>
      <c r="P35" s="22"/>
      <c r="Q35" t="s">
        <v>22</v>
      </c>
      <c r="T35" s="22">
        <v>0</v>
      </c>
      <c r="X35" t="s">
        <v>72</v>
      </c>
    </row>
    <row r="36" spans="1:24" ht="15" x14ac:dyDescent="0.2">
      <c r="A36" s="65" t="s">
        <v>73</v>
      </c>
      <c r="B36" s="15" t="s">
        <v>53</v>
      </c>
      <c r="C36" s="16">
        <v>4</v>
      </c>
      <c r="D36" s="17" t="s">
        <v>70</v>
      </c>
      <c r="E36" s="18" t="s">
        <v>71</v>
      </c>
      <c r="F36" s="71"/>
      <c r="G36" s="67">
        <f t="shared" si="18"/>
        <v>0.30640000000000001</v>
      </c>
      <c r="H36" s="67">
        <f>$H$35</f>
        <v>0.14105000000000001</v>
      </c>
      <c r="I36" s="67">
        <f t="shared" si="19"/>
        <v>-3.5369999999999999E-2</v>
      </c>
      <c r="J36" s="20">
        <f>ROUND(G36*F36,2)</f>
        <v>0</v>
      </c>
      <c r="K36" s="20">
        <f>ROUND(F36*H36,2)</f>
        <v>0</v>
      </c>
      <c r="L36" s="20">
        <f>ROUND(F36*I36,2)</f>
        <v>0</v>
      </c>
      <c r="M36" s="20">
        <f>SUM(J36:L36)</f>
        <v>0</v>
      </c>
      <c r="O36" s="28"/>
      <c r="P36" s="30"/>
      <c r="Q36" t="s">
        <v>22</v>
      </c>
      <c r="T36" s="22">
        <v>0</v>
      </c>
      <c r="X36" t="s">
        <v>74</v>
      </c>
    </row>
    <row r="37" spans="1:24" ht="15" x14ac:dyDescent="0.2">
      <c r="A37" s="65" t="s">
        <v>73</v>
      </c>
      <c r="B37" s="15" t="s">
        <v>54</v>
      </c>
      <c r="C37" s="16">
        <v>4</v>
      </c>
      <c r="D37" s="17" t="s">
        <v>70</v>
      </c>
      <c r="E37" s="18" t="s">
        <v>71</v>
      </c>
      <c r="F37" s="71">
        <v>0</v>
      </c>
      <c r="G37" s="67">
        <f t="shared" si="18"/>
        <v>0.30640000000000001</v>
      </c>
      <c r="H37" s="67">
        <f>$H$35</f>
        <v>0.14105000000000001</v>
      </c>
      <c r="I37" s="67">
        <f t="shared" si="19"/>
        <v>-3.5369999999999999E-2</v>
      </c>
      <c r="J37" s="20">
        <f>ROUND(G37*F37,2)</f>
        <v>0</v>
      </c>
      <c r="K37" s="20">
        <f>ROUND(F37*H37,2)</f>
        <v>0</v>
      </c>
      <c r="L37" s="20">
        <f>ROUND(F37*I37,2)</f>
        <v>0</v>
      </c>
      <c r="M37" s="20">
        <f>SUM(J37:L37)</f>
        <v>0</v>
      </c>
      <c r="O37" s="28"/>
      <c r="P37" s="30"/>
      <c r="Q37" t="s">
        <v>22</v>
      </c>
      <c r="T37" s="22">
        <v>0</v>
      </c>
      <c r="X37" t="s">
        <v>74</v>
      </c>
    </row>
    <row r="38" spans="1:24" ht="12" customHeight="1" x14ac:dyDescent="0.2">
      <c r="A38" s="65"/>
      <c r="C38" s="16"/>
      <c r="E38" s="18"/>
      <c r="F38" s="23"/>
      <c r="G38" s="67"/>
      <c r="H38" s="67"/>
      <c r="I38" s="67"/>
      <c r="L38" s="20"/>
      <c r="O38" s="28"/>
      <c r="P38" s="22"/>
      <c r="T38" s="22"/>
    </row>
    <row r="39" spans="1:24" ht="15.75" x14ac:dyDescent="0.25">
      <c r="A39" s="65" t="s">
        <v>75</v>
      </c>
      <c r="B39" s="15" t="s">
        <v>76</v>
      </c>
      <c r="C39" s="16" t="s">
        <v>77</v>
      </c>
      <c r="D39" s="17" t="s">
        <v>70</v>
      </c>
      <c r="E39" s="18" t="s">
        <v>71</v>
      </c>
      <c r="F39" s="19">
        <v>235222</v>
      </c>
      <c r="G39" s="67">
        <f t="shared" ref="G39:G44" si="20">$G$9</f>
        <v>0.30640000000000001</v>
      </c>
      <c r="H39" s="67">
        <f t="shared" ref="H39:H44" si="21">$H$35</f>
        <v>0.14105000000000001</v>
      </c>
      <c r="I39" s="67">
        <f t="shared" ref="I39:I44" si="22">$I$9</f>
        <v>-3.5369999999999999E-2</v>
      </c>
      <c r="J39" s="20">
        <f t="shared" ref="J39:J44" si="23">ROUND(G39*F39,2)</f>
        <v>72072.02</v>
      </c>
      <c r="K39" s="20">
        <f t="shared" ref="K39:K44" si="24">ROUND(F39*H39,2)</f>
        <v>33178.06</v>
      </c>
      <c r="L39" s="20">
        <f t="shared" ref="L39:L44" si="25">ROUND(F39*I39,2)</f>
        <v>-8319.7999999999993</v>
      </c>
      <c r="M39" s="20">
        <f t="shared" ref="M39:M44" si="26">SUM(J39:L39)</f>
        <v>96930.28</v>
      </c>
      <c r="O39" s="28"/>
      <c r="P39" s="22"/>
      <c r="Q39" t="s">
        <v>22</v>
      </c>
      <c r="T39" s="22">
        <v>0</v>
      </c>
      <c r="X39" t="s">
        <v>74</v>
      </c>
    </row>
    <row r="40" spans="1:24" ht="15.75" x14ac:dyDescent="0.25">
      <c r="A40" s="65" t="s">
        <v>75</v>
      </c>
      <c r="B40" s="15" t="s">
        <v>53</v>
      </c>
      <c r="C40" s="16">
        <v>5</v>
      </c>
      <c r="D40" s="17" t="s">
        <v>70</v>
      </c>
      <c r="E40" s="18" t="s">
        <v>71</v>
      </c>
      <c r="F40" s="31">
        <v>-235222</v>
      </c>
      <c r="G40" s="67">
        <f t="shared" si="20"/>
        <v>0.30640000000000001</v>
      </c>
      <c r="H40" s="67">
        <f t="shared" si="21"/>
        <v>0.14105000000000001</v>
      </c>
      <c r="I40" s="67">
        <f t="shared" si="22"/>
        <v>-3.5369999999999999E-2</v>
      </c>
      <c r="J40" s="20">
        <f t="shared" si="23"/>
        <v>-72072.02</v>
      </c>
      <c r="K40" s="20">
        <f t="shared" si="24"/>
        <v>-33178.06</v>
      </c>
      <c r="L40" s="20">
        <f t="shared" si="25"/>
        <v>8319.7999999999993</v>
      </c>
      <c r="M40" s="20">
        <f t="shared" si="26"/>
        <v>-96930.28</v>
      </c>
      <c r="O40" s="28"/>
      <c r="P40" s="30"/>
      <c r="Q40" t="s">
        <v>22</v>
      </c>
      <c r="T40" s="22">
        <v>0</v>
      </c>
      <c r="X40" t="s">
        <v>72</v>
      </c>
    </row>
    <row r="41" spans="1:24" ht="15.75" x14ac:dyDescent="0.25">
      <c r="A41" s="65" t="s">
        <v>75</v>
      </c>
      <c r="B41" s="15" t="s">
        <v>78</v>
      </c>
      <c r="C41" s="16">
        <v>5</v>
      </c>
      <c r="D41" s="17" t="s">
        <v>70</v>
      </c>
      <c r="E41" s="18" t="s">
        <v>71</v>
      </c>
      <c r="F41" s="31">
        <v>198500</v>
      </c>
      <c r="G41" s="67">
        <f t="shared" si="20"/>
        <v>0.30640000000000001</v>
      </c>
      <c r="H41" s="67">
        <f t="shared" si="21"/>
        <v>0.14105000000000001</v>
      </c>
      <c r="I41" s="67">
        <f t="shared" si="22"/>
        <v>-3.5369999999999999E-2</v>
      </c>
      <c r="J41" s="20">
        <f t="shared" si="23"/>
        <v>60820.4</v>
      </c>
      <c r="K41" s="20">
        <f t="shared" si="24"/>
        <v>27998.43</v>
      </c>
      <c r="L41" s="20">
        <f t="shared" si="25"/>
        <v>-7020.95</v>
      </c>
      <c r="M41" s="20">
        <f t="shared" si="26"/>
        <v>81797.88</v>
      </c>
      <c r="O41" s="28"/>
      <c r="P41" s="30"/>
      <c r="Q41" t="s">
        <v>22</v>
      </c>
      <c r="T41" s="22">
        <v>0</v>
      </c>
      <c r="X41" t="s">
        <v>72</v>
      </c>
    </row>
    <row r="42" spans="1:24" ht="15.75" x14ac:dyDescent="0.25">
      <c r="A42" s="65" t="s">
        <v>79</v>
      </c>
      <c r="B42" s="15" t="s">
        <v>80</v>
      </c>
      <c r="C42" s="16">
        <v>5</v>
      </c>
      <c r="D42" s="17" t="s">
        <v>81</v>
      </c>
      <c r="E42" s="18" t="s">
        <v>82</v>
      </c>
      <c r="F42" s="19">
        <v>19335</v>
      </c>
      <c r="G42" s="67">
        <f t="shared" si="20"/>
        <v>0.30640000000000001</v>
      </c>
      <c r="H42" s="67">
        <f t="shared" si="21"/>
        <v>0.14105000000000001</v>
      </c>
      <c r="I42" s="67">
        <f t="shared" si="22"/>
        <v>-3.5369999999999999E-2</v>
      </c>
      <c r="J42" s="20">
        <f t="shared" si="23"/>
        <v>5924.24</v>
      </c>
      <c r="K42" s="20">
        <f t="shared" si="24"/>
        <v>2727.2</v>
      </c>
      <c r="L42" s="20">
        <f t="shared" si="25"/>
        <v>-683.88</v>
      </c>
      <c r="M42" s="20">
        <f t="shared" si="26"/>
        <v>7967.5599999999986</v>
      </c>
      <c r="O42" s="28"/>
      <c r="P42" s="22"/>
      <c r="Q42" t="s">
        <v>22</v>
      </c>
      <c r="T42" s="22">
        <v>0</v>
      </c>
      <c r="X42" t="s">
        <v>83</v>
      </c>
    </row>
    <row r="43" spans="1:24" ht="15.75" x14ac:dyDescent="0.25">
      <c r="A43" s="65" t="s">
        <v>75</v>
      </c>
      <c r="B43" s="15" t="s">
        <v>53</v>
      </c>
      <c r="C43" s="16">
        <v>5</v>
      </c>
      <c r="D43" s="17" t="s">
        <v>81</v>
      </c>
      <c r="E43" s="18" t="s">
        <v>82</v>
      </c>
      <c r="F43" s="31">
        <v>-19335</v>
      </c>
      <c r="G43" s="67">
        <f t="shared" si="20"/>
        <v>0.30640000000000001</v>
      </c>
      <c r="H43" s="67">
        <f t="shared" si="21"/>
        <v>0.14105000000000001</v>
      </c>
      <c r="I43" s="67">
        <f t="shared" si="22"/>
        <v>-3.5369999999999999E-2</v>
      </c>
      <c r="J43" s="20">
        <f>ROUND(G43*F43,2)</f>
        <v>-5924.24</v>
      </c>
      <c r="K43" s="20">
        <f t="shared" si="24"/>
        <v>-2727.2</v>
      </c>
      <c r="L43" s="20">
        <f t="shared" si="25"/>
        <v>683.88</v>
      </c>
      <c r="M43" s="20">
        <f t="shared" si="26"/>
        <v>-7967.5599999999986</v>
      </c>
      <c r="O43" s="28"/>
      <c r="P43" s="30"/>
      <c r="Q43" t="s">
        <v>22</v>
      </c>
      <c r="T43" s="22">
        <v>0</v>
      </c>
      <c r="X43" t="s">
        <v>72</v>
      </c>
    </row>
    <row r="44" spans="1:24" ht="15.75" x14ac:dyDescent="0.25">
      <c r="A44" s="65" t="s">
        <v>75</v>
      </c>
      <c r="B44" s="15" t="s">
        <v>78</v>
      </c>
      <c r="C44" s="16">
        <v>5</v>
      </c>
      <c r="D44" s="17" t="s">
        <v>81</v>
      </c>
      <c r="E44" s="18" t="s">
        <v>82</v>
      </c>
      <c r="F44" s="31">
        <v>16695</v>
      </c>
      <c r="G44" s="67">
        <f t="shared" si="20"/>
        <v>0.30640000000000001</v>
      </c>
      <c r="H44" s="67">
        <f t="shared" si="21"/>
        <v>0.14105000000000001</v>
      </c>
      <c r="I44" s="67">
        <f t="shared" si="22"/>
        <v>-3.5369999999999999E-2</v>
      </c>
      <c r="J44" s="20">
        <f t="shared" si="23"/>
        <v>5115.3500000000004</v>
      </c>
      <c r="K44" s="20">
        <f t="shared" si="24"/>
        <v>2354.83</v>
      </c>
      <c r="L44" s="20">
        <f t="shared" si="25"/>
        <v>-590.5</v>
      </c>
      <c r="M44" s="20">
        <f t="shared" si="26"/>
        <v>6879.68</v>
      </c>
      <c r="O44" s="28"/>
      <c r="P44" s="30"/>
      <c r="Q44" t="s">
        <v>22</v>
      </c>
      <c r="T44" s="22">
        <v>0</v>
      </c>
      <c r="X44" t="s">
        <v>72</v>
      </c>
    </row>
    <row r="45" spans="1:24" ht="12" customHeight="1" x14ac:dyDescent="0.2">
      <c r="A45" s="65"/>
      <c r="C45" s="16"/>
      <c r="E45" s="18"/>
      <c r="F45" s="33"/>
      <c r="G45" s="67"/>
      <c r="H45" s="67"/>
      <c r="I45" s="67"/>
      <c r="J45" s="20"/>
      <c r="K45" s="20"/>
      <c r="L45" s="20"/>
      <c r="M45" s="20"/>
      <c r="O45" s="28"/>
      <c r="P45" s="30"/>
      <c r="T45" s="22"/>
    </row>
    <row r="46" spans="1:24" ht="14.25" x14ac:dyDescent="0.2">
      <c r="A46" s="65" t="s">
        <v>79</v>
      </c>
      <c r="B46" s="15" t="s">
        <v>84</v>
      </c>
      <c r="C46" s="16">
        <v>6</v>
      </c>
      <c r="D46" s="17" t="s">
        <v>70</v>
      </c>
      <c r="E46" s="18"/>
      <c r="F46" s="34">
        <f>'[2]Core Billed Therms '!$J$88</f>
        <v>0</v>
      </c>
      <c r="G46" s="67">
        <f>$G$9</f>
        <v>0.30640000000000001</v>
      </c>
      <c r="H46" s="67">
        <f>$H$35</f>
        <v>0.14105000000000001</v>
      </c>
      <c r="I46" s="67">
        <f>$I$9</f>
        <v>-3.5369999999999999E-2</v>
      </c>
      <c r="J46" s="20">
        <f>ROUND(G46*F46,2)</f>
        <v>0</v>
      </c>
      <c r="K46" s="20">
        <f>ROUND(F46*H46,2)</f>
        <v>0</v>
      </c>
      <c r="L46" s="20">
        <f>ROUND(F46*I46,2)</f>
        <v>0</v>
      </c>
      <c r="M46" s="20">
        <f>SUM(J46:L46)</f>
        <v>0</v>
      </c>
      <c r="O46" s="28"/>
      <c r="P46" s="22"/>
      <c r="Q46" t="s">
        <v>22</v>
      </c>
      <c r="T46" s="22">
        <v>0</v>
      </c>
      <c r="X46" t="s">
        <v>85</v>
      </c>
    </row>
    <row r="47" spans="1:24" ht="12" customHeight="1" x14ac:dyDescent="0.2">
      <c r="A47" s="65"/>
      <c r="C47" s="16"/>
      <c r="F47" s="34"/>
      <c r="I47" s="35"/>
      <c r="J47" s="20"/>
      <c r="K47" s="20"/>
      <c r="L47" s="20"/>
      <c r="M47" s="20"/>
      <c r="P47" s="22"/>
      <c r="T47" s="22"/>
    </row>
    <row r="48" spans="1:24" ht="15" x14ac:dyDescent="0.25">
      <c r="A48" s="72" t="s">
        <v>86</v>
      </c>
      <c r="C48" s="36"/>
      <c r="D48" s="37"/>
      <c r="E48" s="17" t="s">
        <v>135</v>
      </c>
      <c r="F48" s="38">
        <f>SUM(F9:F47)</f>
        <v>18887462</v>
      </c>
      <c r="G48" s="38" t="s">
        <v>87</v>
      </c>
      <c r="J48" s="87">
        <f>SUM(J9:J47)</f>
        <v>5787118.3600000013</v>
      </c>
      <c r="K48" s="88">
        <f>SUM(K9:K47)</f>
        <v>3130852.4600000004</v>
      </c>
      <c r="L48" s="39">
        <f>SUM(L9:L47)</f>
        <v>-756076.69</v>
      </c>
      <c r="M48" s="39">
        <f>SUM(M9:M47)</f>
        <v>8161894.1300000008</v>
      </c>
      <c r="O48" s="39"/>
      <c r="P48" s="22"/>
      <c r="T48" s="22"/>
    </row>
    <row r="49" spans="2:24" ht="15" x14ac:dyDescent="0.25">
      <c r="B49" s="14"/>
      <c r="C49" s="36"/>
      <c r="F49" s="38"/>
      <c r="J49" s="39" t="s">
        <v>88</v>
      </c>
      <c r="K49" s="39" t="s">
        <v>88</v>
      </c>
      <c r="L49" s="39"/>
      <c r="M49" s="39"/>
      <c r="O49" s="39">
        <f>-M48</f>
        <v>-8161894.1300000008</v>
      </c>
      <c r="P49" s="14" t="s">
        <v>89</v>
      </c>
      <c r="Q49" t="s">
        <v>22</v>
      </c>
      <c r="T49" s="22">
        <v>0</v>
      </c>
      <c r="X49" t="s">
        <v>90</v>
      </c>
    </row>
    <row r="50" spans="2:24" ht="15" x14ac:dyDescent="0.25">
      <c r="E50" s="17" t="s">
        <v>98</v>
      </c>
      <c r="F50" s="40">
        <f>+F48+F49</f>
        <v>18887462</v>
      </c>
      <c r="G50" s="41"/>
      <c r="J50" s="39">
        <f>SUM(J48:J49)</f>
        <v>5787118.3600000013</v>
      </c>
      <c r="K50" s="39">
        <f>SUM(K48:K49)</f>
        <v>3130852.4600000004</v>
      </c>
      <c r="L50" s="39">
        <f>SUM(L48:L49)</f>
        <v>-756076.69</v>
      </c>
      <c r="M50" s="39">
        <f>SUM(M48:M49)</f>
        <v>8161894.1300000008</v>
      </c>
      <c r="N50" s="20"/>
      <c r="O50" s="42"/>
      <c r="R50" s="22"/>
    </row>
    <row r="51" spans="2:24" ht="21.75" customHeight="1" x14ac:dyDescent="0.25">
      <c r="F51" s="43" t="s">
        <v>91</v>
      </c>
      <c r="J51" s="39"/>
      <c r="K51" s="44"/>
      <c r="L51" s="39"/>
      <c r="M51" s="39"/>
    </row>
    <row r="52" spans="2:24" ht="21.75" customHeight="1" x14ac:dyDescent="0.2">
      <c r="F52" s="45" t="s">
        <v>92</v>
      </c>
      <c r="G52" s="46"/>
      <c r="K52" s="47"/>
      <c r="L52" s="20"/>
      <c r="M52" s="20"/>
    </row>
    <row r="53" spans="2:24" x14ac:dyDescent="0.2">
      <c r="G53" s="46"/>
      <c r="K53" s="49"/>
      <c r="M53" s="44"/>
    </row>
    <row r="54" spans="2:24" x14ac:dyDescent="0.2">
      <c r="E54" s="17" t="s">
        <v>93</v>
      </c>
      <c r="K54" s="50"/>
      <c r="M54" s="51"/>
    </row>
    <row r="55" spans="2:24" x14ac:dyDescent="0.2">
      <c r="K55" s="50"/>
      <c r="L55" s="52"/>
    </row>
    <row r="56" spans="2:24" x14ac:dyDescent="0.2">
      <c r="K56" s="50"/>
      <c r="L56" s="52"/>
      <c r="M56" s="53"/>
    </row>
    <row r="57" spans="2:24" x14ac:dyDescent="0.2">
      <c r="K57" s="50"/>
      <c r="L57" s="52"/>
      <c r="M57" s="54"/>
    </row>
    <row r="58" spans="2:24" x14ac:dyDescent="0.2">
      <c r="K58" s="50"/>
      <c r="L58" s="52"/>
      <c r="M58" s="54"/>
    </row>
    <row r="59" spans="2:24" x14ac:dyDescent="0.2">
      <c r="K59" s="50"/>
      <c r="L59" s="54"/>
      <c r="M59" s="52"/>
    </row>
    <row r="60" spans="2:24" x14ac:dyDescent="0.2">
      <c r="K60" s="55"/>
      <c r="M60" s="56"/>
    </row>
    <row r="61" spans="2:24" x14ac:dyDescent="0.2">
      <c r="K61" s="49"/>
      <c r="M61" s="57"/>
    </row>
    <row r="73" spans="6:6" x14ac:dyDescent="0.2">
      <c r="F73" s="48" t="e">
        <f>+F50+#REF!</f>
        <v>#REF!</v>
      </c>
    </row>
    <row r="108" spans="1:15" x14ac:dyDescent="0.2">
      <c r="A108" s="58"/>
      <c r="C108" s="36"/>
    </row>
    <row r="109" spans="1:15" x14ac:dyDescent="0.2">
      <c r="A109" s="58"/>
      <c r="C109" s="36"/>
      <c r="O109" s="49"/>
    </row>
    <row r="110" spans="1:15" x14ac:dyDescent="0.2">
      <c r="O110" s="49"/>
    </row>
    <row r="111" spans="1:15" x14ac:dyDescent="0.2">
      <c r="C111" s="36"/>
    </row>
    <row r="112" spans="1:15" x14ac:dyDescent="0.2">
      <c r="C112" s="36"/>
    </row>
  </sheetData>
  <mergeCells count="9">
    <mergeCell ref="K5:N5"/>
    <mergeCell ref="D1:J2"/>
    <mergeCell ref="K1:N1"/>
    <mergeCell ref="K2:N2"/>
    <mergeCell ref="A3:B3"/>
    <mergeCell ref="E3:J4"/>
    <mergeCell ref="K3:N3"/>
    <mergeCell ref="A4:B4"/>
    <mergeCell ref="K4:N4"/>
  </mergeCells>
  <printOptions horizontalCentered="1" gridLines="1"/>
  <pageMargins left="0" right="0" top="0.45" bottom="0" header="0.15" footer="0.35"/>
  <pageSetup scale="74" orientation="landscape" cellComments="asDisplayed" r:id="rId1"/>
  <headerFooter alignWithMargins="0">
    <oddHeader>&amp;R&amp;16Page 4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tabSelected="1" zoomScaleNormal="100" workbookViewId="0">
      <selection activeCell="E3" sqref="E3"/>
    </sheetView>
  </sheetViews>
  <sheetFormatPr defaultRowHeight="12.75" x14ac:dyDescent="0.2"/>
  <cols>
    <col min="1" max="1" width="11.7109375" customWidth="1"/>
    <col min="2" max="2" width="20.28515625" customWidth="1"/>
    <col min="3" max="3" width="9.7109375" customWidth="1"/>
    <col min="4" max="4" width="20.42578125" customWidth="1"/>
    <col min="5" max="5" width="19" customWidth="1"/>
    <col min="6" max="7" width="16.42578125" bestFit="1" customWidth="1"/>
    <col min="8" max="8" width="3.7109375" customWidth="1"/>
  </cols>
  <sheetData>
    <row r="1" spans="1:8" ht="15" x14ac:dyDescent="0.2">
      <c r="A1" s="252" t="s">
        <v>109</v>
      </c>
      <c r="B1" s="252"/>
      <c r="C1" s="252"/>
      <c r="D1" s="252"/>
      <c r="E1" s="252"/>
      <c r="F1" s="252"/>
      <c r="G1" s="253"/>
      <c r="H1" s="79"/>
    </row>
    <row r="2" spans="1:8" ht="15" x14ac:dyDescent="0.2">
      <c r="A2" s="254" t="s">
        <v>110</v>
      </c>
      <c r="B2" s="255">
        <f>'Core Cost Incurred'!D2</f>
        <v>42855</v>
      </c>
      <c r="C2" s="256"/>
      <c r="D2" s="256"/>
      <c r="E2" s="256"/>
      <c r="F2" s="256"/>
      <c r="G2" s="256"/>
    </row>
    <row r="3" spans="1:8" x14ac:dyDescent="0.2">
      <c r="A3" s="26"/>
      <c r="B3" s="26"/>
      <c r="C3" s="26"/>
      <c r="D3" s="26"/>
      <c r="E3" s="26"/>
      <c r="F3" s="26"/>
      <c r="G3" s="26"/>
    </row>
    <row r="4" spans="1:8" ht="15" customHeight="1" thickBot="1" x14ac:dyDescent="0.25">
      <c r="A4" s="324"/>
      <c r="B4" s="324"/>
      <c r="C4" s="324"/>
      <c r="D4" s="324"/>
      <c r="E4" s="324"/>
      <c r="F4" s="257"/>
      <c r="G4" s="258"/>
    </row>
    <row r="5" spans="1:8" ht="14.25" x14ac:dyDescent="0.2">
      <c r="A5" s="259"/>
      <c r="B5" s="259"/>
      <c r="C5" s="259"/>
      <c r="D5" s="260" t="s">
        <v>96</v>
      </c>
      <c r="E5" s="260" t="s">
        <v>97</v>
      </c>
      <c r="F5" s="261" t="s">
        <v>6</v>
      </c>
      <c r="G5" s="260" t="s">
        <v>98</v>
      </c>
    </row>
    <row r="6" spans="1:8" ht="14.25" x14ac:dyDescent="0.2">
      <c r="A6" s="262" t="s">
        <v>111</v>
      </c>
      <c r="B6" s="263"/>
      <c r="C6" s="264" t="s">
        <v>112</v>
      </c>
      <c r="D6" s="265">
        <v>692010</v>
      </c>
      <c r="E6" s="265">
        <v>691010</v>
      </c>
      <c r="F6" s="266">
        <v>693010</v>
      </c>
      <c r="G6" s="265"/>
      <c r="H6" s="14"/>
    </row>
    <row r="7" spans="1:8" ht="15" hidden="1" customHeight="1" x14ac:dyDescent="0.2">
      <c r="A7" s="80" t="s">
        <v>111</v>
      </c>
      <c r="B7" s="26"/>
      <c r="C7" s="26"/>
      <c r="D7" s="267"/>
      <c r="E7" s="267"/>
      <c r="F7" s="268"/>
      <c r="G7" s="267"/>
    </row>
    <row r="8" spans="1:8" ht="16.5" customHeight="1" x14ac:dyDescent="0.2">
      <c r="A8" s="80" t="s">
        <v>113</v>
      </c>
      <c r="B8" s="81"/>
      <c r="C8" s="26"/>
      <c r="D8" s="269">
        <f>+'WA Rates'!J48</f>
        <v>5787118.3600000013</v>
      </c>
      <c r="E8" s="269">
        <f>+'WA Rates'!K48</f>
        <v>3130852.4600000004</v>
      </c>
      <c r="F8" s="270">
        <f>+'WA Rates'!L48</f>
        <v>-756076.69</v>
      </c>
      <c r="G8" s="271">
        <f>SUM(D8:F8)</f>
        <v>8161894.1300000027</v>
      </c>
    </row>
    <row r="9" spans="1:8" ht="16.5" customHeight="1" x14ac:dyDescent="0.2">
      <c r="A9" s="80" t="s">
        <v>114</v>
      </c>
      <c r="B9" s="81"/>
      <c r="C9" s="26"/>
      <c r="D9" s="272"/>
      <c r="E9" s="272"/>
      <c r="F9" s="273"/>
      <c r="G9" s="274"/>
    </row>
    <row r="10" spans="1:8" ht="16.5" customHeight="1" x14ac:dyDescent="0.2">
      <c r="A10" s="80" t="s">
        <v>115</v>
      </c>
      <c r="B10" s="26"/>
      <c r="C10" s="275" t="s">
        <v>69</v>
      </c>
      <c r="D10" s="269">
        <f>SUM(D8:D9)</f>
        <v>5787118.3600000013</v>
      </c>
      <c r="E10" s="269">
        <f>SUM(E8:E9)</f>
        <v>3130852.4600000004</v>
      </c>
      <c r="F10" s="270">
        <f>SUM(F8:F9)</f>
        <v>-756076.69</v>
      </c>
      <c r="G10" s="269">
        <f>SUM(G8:G9)</f>
        <v>8161894.1300000027</v>
      </c>
    </row>
    <row r="11" spans="1:8" ht="16.5" customHeight="1" x14ac:dyDescent="0.2">
      <c r="A11" s="80" t="s">
        <v>116</v>
      </c>
      <c r="B11" s="81"/>
      <c r="C11" s="275" t="s">
        <v>117</v>
      </c>
      <c r="D11" s="276">
        <f>'Core Cost Incurred'!J42</f>
        <v>5432690.0099999998</v>
      </c>
      <c r="E11" s="276">
        <f>'Core Cost Incurred'!J43</f>
        <v>3842454.52</v>
      </c>
      <c r="F11" s="277">
        <v>0</v>
      </c>
      <c r="G11" s="274">
        <f>SUM(D11:E11)</f>
        <v>9275144.5299999993</v>
      </c>
    </row>
    <row r="12" spans="1:8" ht="16.5" customHeight="1" x14ac:dyDescent="0.2">
      <c r="A12" s="80" t="s">
        <v>118</v>
      </c>
      <c r="B12" s="26"/>
      <c r="C12" s="275">
        <v>1</v>
      </c>
      <c r="D12" s="278">
        <f>D10-D11</f>
        <v>354428.35000000149</v>
      </c>
      <c r="E12" s="279">
        <f>E10-E11</f>
        <v>-711602.05999999959</v>
      </c>
      <c r="F12" s="279">
        <f t="shared" ref="F12" si="0">F10-F11</f>
        <v>-756076.69</v>
      </c>
      <c r="G12" s="278">
        <f>G10-G11</f>
        <v>-1113250.3999999966</v>
      </c>
    </row>
    <row r="13" spans="1:8" ht="16.5" customHeight="1" x14ac:dyDescent="0.2">
      <c r="A13" s="80" t="s">
        <v>119</v>
      </c>
      <c r="B13" s="26"/>
      <c r="C13" s="305"/>
      <c r="D13" s="306">
        <v>2323.67</v>
      </c>
      <c r="E13" s="280"/>
      <c r="F13" s="281"/>
      <c r="G13" s="306">
        <v>2323.67</v>
      </c>
    </row>
    <row r="14" spans="1:8" ht="16.5" customHeight="1" x14ac:dyDescent="0.2">
      <c r="A14" s="282" t="s">
        <v>120</v>
      </c>
      <c r="B14" s="77"/>
      <c r="C14" s="283"/>
      <c r="D14" s="278"/>
      <c r="E14" s="278">
        <v>255885.42</v>
      </c>
      <c r="F14" s="284"/>
      <c r="G14" s="278">
        <v>255885.42</v>
      </c>
    </row>
    <row r="15" spans="1:8" ht="16.5" customHeight="1" x14ac:dyDescent="0.25">
      <c r="A15" s="286" t="s">
        <v>121</v>
      </c>
      <c r="B15" s="287"/>
      <c r="C15" s="287"/>
      <c r="D15" s="288">
        <f>+D10-D11+D13</f>
        <v>356752.02000000147</v>
      </c>
      <c r="E15" s="288">
        <f>+E12+E14</f>
        <v>-455716.63999999955</v>
      </c>
      <c r="F15" s="289">
        <f>+F10-F11</f>
        <v>-756076.69</v>
      </c>
      <c r="G15" s="288">
        <f>G12+G14+G13</f>
        <v>-855041.30999999656</v>
      </c>
    </row>
    <row r="16" spans="1:8" ht="14.25" customHeight="1" x14ac:dyDescent="0.2">
      <c r="A16" s="26"/>
      <c r="B16" s="26"/>
      <c r="C16" s="26"/>
      <c r="D16" s="290"/>
      <c r="E16" s="290"/>
      <c r="F16" s="291"/>
      <c r="G16" s="290"/>
    </row>
    <row r="17" spans="1:7" ht="14.25" customHeight="1" x14ac:dyDescent="0.2">
      <c r="A17" s="26"/>
      <c r="B17" s="26"/>
      <c r="C17" s="26"/>
      <c r="D17" s="290" t="s">
        <v>122</v>
      </c>
      <c r="E17" s="290"/>
      <c r="F17" s="291"/>
      <c r="G17" s="290"/>
    </row>
    <row r="18" spans="1:7" ht="14.25" customHeight="1" x14ac:dyDescent="0.2">
      <c r="A18" s="26"/>
      <c r="B18" s="26"/>
      <c r="C18" s="26"/>
      <c r="D18" s="290"/>
      <c r="E18" s="292"/>
      <c r="F18" s="291"/>
      <c r="G18" s="290"/>
    </row>
    <row r="19" spans="1:7" ht="14.25" customHeight="1" x14ac:dyDescent="0.2">
      <c r="A19" s="135" t="s">
        <v>123</v>
      </c>
      <c r="B19" s="135"/>
      <c r="C19" s="81"/>
      <c r="D19" s="293" t="s">
        <v>105</v>
      </c>
      <c r="E19" s="294" t="s">
        <v>105</v>
      </c>
      <c r="F19" s="295"/>
      <c r="G19" s="296"/>
    </row>
    <row r="20" spans="1:7" ht="14.25" customHeight="1" x14ac:dyDescent="0.2">
      <c r="A20" s="81"/>
      <c r="B20" s="81"/>
      <c r="C20" s="81"/>
      <c r="D20" s="297"/>
      <c r="E20" s="297"/>
      <c r="F20" s="298"/>
      <c r="G20" s="290"/>
    </row>
    <row r="21" spans="1:7" ht="14.25" customHeight="1" x14ac:dyDescent="0.2">
      <c r="A21" s="81"/>
      <c r="B21" s="81"/>
      <c r="C21" s="81"/>
      <c r="D21" s="285">
        <f>-D15</f>
        <v>-356752.02000000147</v>
      </c>
      <c r="E21" s="285">
        <f>-E12-E14</f>
        <v>455716.63999999955</v>
      </c>
      <c r="F21" s="299">
        <f>-F15</f>
        <v>756076.69</v>
      </c>
      <c r="G21" s="285">
        <f>SUM(D21:F21)</f>
        <v>855041.30999999796</v>
      </c>
    </row>
    <row r="22" spans="1:7" ht="14.25" customHeight="1" thickBot="1" x14ac:dyDescent="0.25">
      <c r="A22" s="135" t="s">
        <v>124</v>
      </c>
      <c r="B22" s="135"/>
      <c r="C22" s="81"/>
      <c r="D22" s="300" t="s">
        <v>106</v>
      </c>
      <c r="E22" s="301" t="s">
        <v>107</v>
      </c>
      <c r="F22" s="302"/>
      <c r="G22" s="296"/>
    </row>
    <row r="23" spans="1:7" x14ac:dyDescent="0.2">
      <c r="A23" s="81"/>
      <c r="B23" s="81"/>
      <c r="C23" s="81"/>
      <c r="D23" s="81"/>
      <c r="E23" s="76"/>
      <c r="F23" s="76"/>
      <c r="G23" s="76"/>
    </row>
    <row r="24" spans="1:7" x14ac:dyDescent="0.2">
      <c r="A24" s="26"/>
      <c r="B24" s="26"/>
      <c r="C24" s="26"/>
      <c r="D24" s="26"/>
      <c r="E24" s="303"/>
      <c r="F24" s="304"/>
      <c r="G24" s="26"/>
    </row>
    <row r="25" spans="1:7" x14ac:dyDescent="0.2">
      <c r="E25" s="28"/>
      <c r="F25" s="75"/>
    </row>
    <row r="26" spans="1:7" x14ac:dyDescent="0.2">
      <c r="E26" s="28"/>
      <c r="F26" s="75"/>
    </row>
    <row r="27" spans="1:7" x14ac:dyDescent="0.2">
      <c r="F27" s="75"/>
    </row>
    <row r="30" spans="1:7" x14ac:dyDescent="0.2">
      <c r="A30" s="82"/>
      <c r="B30" s="82"/>
    </row>
  </sheetData>
  <mergeCells count="1">
    <mergeCell ref="A4:E4"/>
  </mergeCells>
  <pageMargins left="0.75" right="0.75" top="0.7" bottom="1" header="0.7" footer="0.5"/>
  <pageSetup scale="90" orientation="landscape" cellComments="asDisplayed" r:id="rId1"/>
  <headerFooter alignWithMargins="0">
    <oddHeader xml:space="preserve">&amp;C&amp;"Arial,Bold"&amp;12&amp;A         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2017-05-19T07:00:00+00:00</OpenedDate>
    <Date1 xmlns="dc463f71-b30c-4ab2-9473-d307f9d35888">2017-05-19T07:00:00+00:00</Date1>
    <IsDocumentOrder xmlns="dc463f71-b30c-4ab2-9473-d307f9d35888" xsi:nil="true"/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170394</DocketNumber>
    <DelegatedOrder xmlns="dc463f71-b30c-4ab2-9473-d307f9d35888">false</DelegatedOrder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88B07383BED2F42AA5B1AD035DE1ED7" ma:contentTypeVersion="104" ma:contentTypeDescription="" ma:contentTypeScope="" ma:versionID="9301c6e51bb082654d535f1ac9e130b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DF0987-06ED-4A14-8308-778B4285A8B3}">
  <ds:schemaRefs>
    <ds:schemaRef ds:uri="http://schemas.microsoft.com/office/2006/metadata/properties"/>
    <ds:schemaRef ds:uri="http://purl.org/dc/elements/1.1/"/>
    <ds:schemaRef ds:uri="6a7bd91e-004b-490a-8704-e368d63d59a0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2CFC1FC-48F7-4FCC-861E-DE1C07F0B6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7147B5-A713-4008-8FF2-31E0235D5B5E}"/>
</file>

<file path=customXml/itemProps4.xml><?xml version="1.0" encoding="utf-8"?>
<ds:datastoreItem xmlns:ds="http://schemas.openxmlformats.org/officeDocument/2006/customXml" ds:itemID="{C32B8DD3-24FC-4BF2-BA78-2088D5F9BA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Core Cost Incurred</vt:lpstr>
      <vt:lpstr>WA Rates</vt:lpstr>
      <vt:lpstr>WA Deferrals</vt:lpstr>
      <vt:lpstr>'Core Cost Incurred'!Print_Area</vt:lpstr>
      <vt:lpstr>'WA Deferrals'!Print_Area</vt:lpstr>
      <vt:lpstr>'WA Rates'!Print_Area</vt:lpstr>
      <vt:lpstr>'Core Cost Incurred'!Print_Titles</vt:lpstr>
      <vt:lpstr>'WA Rates'!Print_Titles</vt:lpstr>
    </vt:vector>
  </TitlesOfParts>
  <Company>MDU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Cascade Natural Gas</dc:creator>
  <cp:lastModifiedBy>Huey, Lorilyn (UTC)</cp:lastModifiedBy>
  <dcterms:created xsi:type="dcterms:W3CDTF">2017-05-18T22:51:38Z</dcterms:created>
  <dcterms:modified xsi:type="dcterms:W3CDTF">2017-05-19T17:34:18Z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0x0101006E56B4D1795A2E4DB2F0B01679ED314A00788B07383BED2F42AA5B1AD035DE1ED7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