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\UT-160942 Pend Oreille\"/>
    </mc:Choice>
  </mc:AlternateContent>
  <bookViews>
    <workbookView xWindow="11505" yWindow="-15" windowWidth="11550" windowHeight="9420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19" i="3" l="1"/>
  <c r="G19" i="3"/>
  <c r="D35" i="13" l="1"/>
  <c r="D26" i="13"/>
  <c r="E26" i="13" s="1"/>
  <c r="D21" i="13"/>
  <c r="E21" i="13" s="1"/>
  <c r="D21" i="10" s="1"/>
  <c r="D20" i="13"/>
  <c r="D22" i="13" s="1"/>
  <c r="D18" i="13"/>
  <c r="D16" i="13"/>
  <c r="D13" i="13"/>
  <c r="D15" i="13" s="1"/>
  <c r="D11" i="8"/>
  <c r="D10" i="8"/>
  <c r="C22" i="13"/>
  <c r="C54" i="13" s="1"/>
  <c r="D22" i="1"/>
  <c r="C22" i="1"/>
  <c r="B4" i="16"/>
  <c r="A3" i="17"/>
  <c r="B3" i="3"/>
  <c r="B3" i="10"/>
  <c r="B3" i="13"/>
  <c r="B3" i="1"/>
  <c r="B3" i="8"/>
  <c r="B3" i="18"/>
  <c r="A3" i="12"/>
  <c r="A3" i="5"/>
  <c r="E51" i="12"/>
  <c r="D22" i="16"/>
  <c r="D24" i="16" s="1"/>
  <c r="D20" i="16"/>
  <c r="D19" i="16"/>
  <c r="D21" i="16" s="1"/>
  <c r="D25" i="16" s="1"/>
  <c r="C24" i="16"/>
  <c r="E19" i="3"/>
  <c r="D19" i="3"/>
  <c r="C21" i="16"/>
  <c r="C25" i="16" s="1"/>
  <c r="E52" i="13"/>
  <c r="D52" i="10" s="1"/>
  <c r="D51" i="13"/>
  <c r="C51" i="13"/>
  <c r="E50" i="13"/>
  <c r="D50" i="10" s="1"/>
  <c r="D51" i="10" s="1"/>
  <c r="E49" i="13"/>
  <c r="D49" i="10" s="1"/>
  <c r="E48" i="13"/>
  <c r="D48" i="10"/>
  <c r="E46" i="13"/>
  <c r="D46" i="10" s="1"/>
  <c r="E45" i="13"/>
  <c r="D45" i="10"/>
  <c r="E44" i="13"/>
  <c r="D44" i="10" s="1"/>
  <c r="E43" i="13"/>
  <c r="D43" i="10"/>
  <c r="E42" i="13"/>
  <c r="D42" i="10" s="1"/>
  <c r="E41" i="13"/>
  <c r="D41" i="10" s="1"/>
  <c r="E37" i="13"/>
  <c r="D37" i="10" s="1"/>
  <c r="E36" i="13"/>
  <c r="D36" i="10"/>
  <c r="E35" i="13"/>
  <c r="D35" i="10" s="1"/>
  <c r="D34" i="13"/>
  <c r="C34" i="13"/>
  <c r="E33" i="13"/>
  <c r="D33" i="10" s="1"/>
  <c r="E32" i="13"/>
  <c r="D32" i="10"/>
  <c r="E31" i="13"/>
  <c r="D31" i="10" s="1"/>
  <c r="E30" i="13"/>
  <c r="D30" i="10" s="1"/>
  <c r="D34" i="10" s="1"/>
  <c r="C28" i="13"/>
  <c r="E27" i="13"/>
  <c r="D27" i="10" s="1"/>
  <c r="E25" i="13"/>
  <c r="D25" i="10"/>
  <c r="E24" i="13"/>
  <c r="D24" i="10" s="1"/>
  <c r="E20" i="13"/>
  <c r="D20" i="10" s="1"/>
  <c r="E19" i="13"/>
  <c r="D19" i="10"/>
  <c r="E18" i="13"/>
  <c r="D18" i="10" s="1"/>
  <c r="E17" i="13"/>
  <c r="D17" i="10" s="1"/>
  <c r="E16" i="13"/>
  <c r="C15" i="13"/>
  <c r="C23" i="13"/>
  <c r="C29" i="13" s="1"/>
  <c r="C39" i="13" s="1"/>
  <c r="E14" i="13"/>
  <c r="D14" i="10" s="1"/>
  <c r="E12" i="13"/>
  <c r="D12" i="10" s="1"/>
  <c r="E11" i="13"/>
  <c r="D11" i="10"/>
  <c r="E10" i="13"/>
  <c r="D10" i="10" s="1"/>
  <c r="E20" i="3"/>
  <c r="E21" i="3" s="1"/>
  <c r="E9" i="13"/>
  <c r="D16" i="10"/>
  <c r="D9" i="10"/>
  <c r="D28" i="13"/>
  <c r="G42" i="5"/>
  <c r="G31" i="5"/>
  <c r="G13" i="5"/>
  <c r="G17" i="5"/>
  <c r="G46" i="12"/>
  <c r="C46" i="12"/>
  <c r="B46" i="12"/>
  <c r="D45" i="12"/>
  <c r="C45" i="5"/>
  <c r="E12" i="18"/>
  <c r="I44" i="12"/>
  <c r="G44" i="5"/>
  <c r="D44" i="12"/>
  <c r="C44" i="5"/>
  <c r="I43" i="12"/>
  <c r="G43" i="5"/>
  <c r="D43" i="12"/>
  <c r="C43" i="5"/>
  <c r="I42" i="12"/>
  <c r="D42" i="12"/>
  <c r="C42" i="5"/>
  <c r="E11" i="18"/>
  <c r="I41" i="12"/>
  <c r="G41" i="5"/>
  <c r="D41" i="12"/>
  <c r="D46" i="12" s="1"/>
  <c r="C41" i="5"/>
  <c r="E10" i="18" s="1"/>
  <c r="I40" i="12"/>
  <c r="G40" i="5" s="1"/>
  <c r="I39" i="12"/>
  <c r="G39" i="5" s="1"/>
  <c r="B38" i="12"/>
  <c r="B48" i="12" s="1"/>
  <c r="H37" i="12"/>
  <c r="G37" i="12"/>
  <c r="D37" i="12"/>
  <c r="C37" i="5"/>
  <c r="I36" i="12"/>
  <c r="G36" i="5" s="1"/>
  <c r="D36" i="12"/>
  <c r="C36" i="5" s="1"/>
  <c r="I35" i="12"/>
  <c r="G35" i="5"/>
  <c r="D35" i="12"/>
  <c r="C35" i="5" s="1"/>
  <c r="I34" i="12"/>
  <c r="G34" i="5" s="1"/>
  <c r="D33" i="12"/>
  <c r="C33" i="5"/>
  <c r="H32" i="12"/>
  <c r="G32" i="12"/>
  <c r="D32" i="12"/>
  <c r="C32" i="5"/>
  <c r="I31" i="12"/>
  <c r="I30" i="12"/>
  <c r="G30" i="5"/>
  <c r="D30" i="12"/>
  <c r="C30" i="5" s="1"/>
  <c r="I29" i="12"/>
  <c r="G29" i="5"/>
  <c r="D29" i="12"/>
  <c r="C29" i="5" s="1"/>
  <c r="I28" i="12"/>
  <c r="G28" i="5" s="1"/>
  <c r="I27" i="12"/>
  <c r="G27" i="5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/>
  <c r="D21" i="12"/>
  <c r="C21" i="5" s="1"/>
  <c r="E13" i="18"/>
  <c r="H20" i="12"/>
  <c r="G20" i="12"/>
  <c r="G48" i="12" s="1"/>
  <c r="D20" i="12"/>
  <c r="C20" i="5"/>
  <c r="I19" i="12"/>
  <c r="G19" i="5"/>
  <c r="D19" i="12"/>
  <c r="C19" i="5"/>
  <c r="I18" i="12"/>
  <c r="G18" i="5"/>
  <c r="D18" i="12"/>
  <c r="C18" i="5"/>
  <c r="I17" i="12"/>
  <c r="D17" i="12"/>
  <c r="C17" i="5" s="1"/>
  <c r="I16" i="12"/>
  <c r="G16" i="5"/>
  <c r="I15" i="12"/>
  <c r="G15" i="5" s="1"/>
  <c r="D15" i="12"/>
  <c r="C15" i="5" s="1"/>
  <c r="I14" i="12"/>
  <c r="G14" i="5" s="1"/>
  <c r="D14" i="12"/>
  <c r="C14" i="5"/>
  <c r="I13" i="12"/>
  <c r="D13" i="12"/>
  <c r="C13" i="5"/>
  <c r="I12" i="12"/>
  <c r="G12" i="5" s="1"/>
  <c r="I11" i="12"/>
  <c r="G11" i="5"/>
  <c r="D11" i="12"/>
  <c r="C11" i="5" s="1"/>
  <c r="I10" i="12"/>
  <c r="D10" i="12"/>
  <c r="D25" i="12" s="1"/>
  <c r="C10" i="5"/>
  <c r="H32" i="2"/>
  <c r="H20" i="2"/>
  <c r="C25" i="2"/>
  <c r="G22" i="5"/>
  <c r="G10" i="5"/>
  <c r="C34" i="12"/>
  <c r="D34" i="12" s="1"/>
  <c r="C34" i="5" s="1"/>
  <c r="H45" i="12"/>
  <c r="H46" i="12" s="1"/>
  <c r="E11" i="8"/>
  <c r="E10" i="8"/>
  <c r="E12" i="8" s="1"/>
  <c r="F12" i="8" s="1"/>
  <c r="H48" i="12"/>
  <c r="D11" i="2"/>
  <c r="B11" i="5" s="1"/>
  <c r="D33" i="2"/>
  <c r="B38" i="2"/>
  <c r="E52" i="1"/>
  <c r="C51" i="1"/>
  <c r="E30" i="1"/>
  <c r="E31" i="1"/>
  <c r="C52" i="10"/>
  <c r="E50" i="1"/>
  <c r="C50" i="10" s="1"/>
  <c r="E49" i="1"/>
  <c r="C49" i="10"/>
  <c r="E48" i="1"/>
  <c r="C48" i="10" s="1"/>
  <c r="C51" i="10" s="1"/>
  <c r="E41" i="1"/>
  <c r="C41" i="10"/>
  <c r="E42" i="1"/>
  <c r="C42" i="10" s="1"/>
  <c r="E43" i="1"/>
  <c r="C43" i="10"/>
  <c r="E44" i="1"/>
  <c r="C44" i="10" s="1"/>
  <c r="E45" i="1"/>
  <c r="C45" i="10"/>
  <c r="E46" i="1"/>
  <c r="C46" i="10" s="1"/>
  <c r="E36" i="1"/>
  <c r="C36" i="10"/>
  <c r="E37" i="1"/>
  <c r="C37" i="10" s="1"/>
  <c r="E35" i="1"/>
  <c r="C31" i="10"/>
  <c r="C34" i="10" s="1"/>
  <c r="E32" i="1"/>
  <c r="C32" i="10" s="1"/>
  <c r="E33" i="1"/>
  <c r="C33" i="10" s="1"/>
  <c r="C30" i="10"/>
  <c r="E25" i="1"/>
  <c r="E27" i="1"/>
  <c r="C27" i="10" s="1"/>
  <c r="E24" i="1"/>
  <c r="C24" i="10"/>
  <c r="E17" i="1"/>
  <c r="C17" i="10" s="1"/>
  <c r="E18" i="1"/>
  <c r="C18" i="10" s="1"/>
  <c r="E19" i="1"/>
  <c r="C19" i="10" s="1"/>
  <c r="E20" i="1"/>
  <c r="C20" i="10"/>
  <c r="E21" i="1"/>
  <c r="C21" i="10" s="1"/>
  <c r="E16" i="1"/>
  <c r="C16" i="10" s="1"/>
  <c r="C22" i="10" s="1"/>
  <c r="E10" i="1"/>
  <c r="C10" i="10" s="1"/>
  <c r="E11" i="1"/>
  <c r="C11" i="10" s="1"/>
  <c r="E12" i="1"/>
  <c r="C12" i="10"/>
  <c r="E13" i="1"/>
  <c r="C13" i="10" s="1"/>
  <c r="E14" i="1"/>
  <c r="C14" i="10" s="1"/>
  <c r="E9" i="1"/>
  <c r="C9" i="10" s="1"/>
  <c r="D51" i="1"/>
  <c r="D34" i="1"/>
  <c r="C34" i="1"/>
  <c r="C28" i="1"/>
  <c r="D15" i="1"/>
  <c r="D23" i="1" s="1"/>
  <c r="D29" i="1" s="1"/>
  <c r="C15" i="1"/>
  <c r="C53" i="1" s="1"/>
  <c r="C35" i="10"/>
  <c r="E34" i="1"/>
  <c r="C25" i="10"/>
  <c r="C23" i="1"/>
  <c r="C29" i="1" s="1"/>
  <c r="C39" i="1" s="1"/>
  <c r="E15" i="1"/>
  <c r="I40" i="2"/>
  <c r="F40" i="5"/>
  <c r="I41" i="2"/>
  <c r="F41" i="5"/>
  <c r="I42" i="2"/>
  <c r="F42" i="5"/>
  <c r="I43" i="2"/>
  <c r="F43" i="5"/>
  <c r="I44" i="2"/>
  <c r="F44" i="5"/>
  <c r="I39" i="2"/>
  <c r="F39" i="5"/>
  <c r="F46" i="5" s="1"/>
  <c r="I35" i="2"/>
  <c r="F35" i="5"/>
  <c r="I36" i="2"/>
  <c r="F36" i="5"/>
  <c r="I34" i="2"/>
  <c r="F34" i="5"/>
  <c r="I23" i="2"/>
  <c r="I32" i="2" s="1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F32" i="5" s="1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B43" i="5" s="1"/>
  <c r="D44" i="2"/>
  <c r="D45" i="2"/>
  <c r="D41" i="2"/>
  <c r="B41" i="5"/>
  <c r="D10" i="18" s="1"/>
  <c r="D35" i="2"/>
  <c r="B35" i="5" s="1"/>
  <c r="D36" i="2"/>
  <c r="B36" i="5" s="1"/>
  <c r="D37" i="2"/>
  <c r="D32" i="2"/>
  <c r="D30" i="2"/>
  <c r="B30" i="5" s="1"/>
  <c r="D29" i="2"/>
  <c r="B29" i="5" s="1"/>
  <c r="B38" i="5" s="1"/>
  <c r="D18" i="2"/>
  <c r="B18" i="5"/>
  <c r="D19" i="2"/>
  <c r="B19" i="5"/>
  <c r="D20" i="2"/>
  <c r="B20" i="5"/>
  <c r="D21" i="2"/>
  <c r="B21" i="5"/>
  <c r="D13" i="18" s="1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 s="1"/>
  <c r="B25" i="5" s="1"/>
  <c r="D12" i="8"/>
  <c r="C12" i="8"/>
  <c r="F10" i="8"/>
  <c r="C46" i="5"/>
  <c r="F37" i="5"/>
  <c r="F11" i="8"/>
  <c r="B42" i="5"/>
  <c r="D11" i="18"/>
  <c r="F11" i="18" s="1"/>
  <c r="B44" i="5"/>
  <c r="B45" i="5"/>
  <c r="D12" i="18"/>
  <c r="F12" i="18" s="1"/>
  <c r="B33" i="5"/>
  <c r="B37" i="5"/>
  <c r="B32" i="5"/>
  <c r="B14" i="5"/>
  <c r="B15" i="5"/>
  <c r="B13" i="5"/>
  <c r="G46" i="2"/>
  <c r="H37" i="2"/>
  <c r="I37" i="2"/>
  <c r="G37" i="2"/>
  <c r="G32" i="2"/>
  <c r="G48" i="2" s="1"/>
  <c r="I20" i="2"/>
  <c r="G20" i="2"/>
  <c r="C46" i="2"/>
  <c r="C34" i="2"/>
  <c r="D34" i="2" s="1"/>
  <c r="C38" i="2"/>
  <c r="C48" i="2" s="1"/>
  <c r="B46" i="2"/>
  <c r="B25" i="2"/>
  <c r="B48" i="2" s="1"/>
  <c r="E26" i="1"/>
  <c r="D28" i="1"/>
  <c r="D53" i="1" s="1"/>
  <c r="H45" i="2"/>
  <c r="I45" i="2" s="1"/>
  <c r="F45" i="5" s="1"/>
  <c r="D54" i="1"/>
  <c r="C26" i="10"/>
  <c r="E28" i="1"/>
  <c r="B34" i="5"/>
  <c r="D38" i="1" l="1"/>
  <c r="E38" i="1" s="1"/>
  <c r="C38" i="10" s="1"/>
  <c r="D39" i="1"/>
  <c r="D53" i="13"/>
  <c r="D54" i="13"/>
  <c r="C38" i="5"/>
  <c r="E23" i="1"/>
  <c r="E29" i="1" s="1"/>
  <c r="E39" i="1" s="1"/>
  <c r="G37" i="5"/>
  <c r="E14" i="18"/>
  <c r="D26" i="10"/>
  <c r="D28" i="10" s="1"/>
  <c r="E28" i="13"/>
  <c r="B48" i="5"/>
  <c r="I46" i="2"/>
  <c r="I48" i="2" s="1"/>
  <c r="C56" i="1"/>
  <c r="C55" i="1"/>
  <c r="C47" i="1"/>
  <c r="C15" i="10"/>
  <c r="C23" i="10" s="1"/>
  <c r="D20" i="3"/>
  <c r="D21" i="3" s="1"/>
  <c r="D48" i="12"/>
  <c r="G32" i="5"/>
  <c r="D22" i="10"/>
  <c r="C47" i="13"/>
  <c r="C55" i="13"/>
  <c r="C56" i="13"/>
  <c r="D15" i="18"/>
  <c r="G20" i="5"/>
  <c r="C25" i="5"/>
  <c r="C48" i="5" s="1"/>
  <c r="D15" i="10"/>
  <c r="D23" i="10" s="1"/>
  <c r="B46" i="5"/>
  <c r="D46" i="2"/>
  <c r="E51" i="1"/>
  <c r="C28" i="10"/>
  <c r="C53" i="10" s="1"/>
  <c r="I45" i="12"/>
  <c r="I20" i="12"/>
  <c r="I37" i="12"/>
  <c r="C53" i="13"/>
  <c r="E34" i="13"/>
  <c r="E51" i="13"/>
  <c r="D23" i="13"/>
  <c r="D29" i="13" s="1"/>
  <c r="D38" i="2"/>
  <c r="H46" i="2"/>
  <c r="H48" i="2" s="1"/>
  <c r="D25" i="2"/>
  <c r="D48" i="2" s="1"/>
  <c r="F20" i="5"/>
  <c r="F48" i="5" s="1"/>
  <c r="E22" i="1"/>
  <c r="D38" i="12"/>
  <c r="C38" i="12"/>
  <c r="C48" i="12" s="1"/>
  <c r="I32" i="12"/>
  <c r="E22" i="13"/>
  <c r="E13" i="13"/>
  <c r="D13" i="10" s="1"/>
  <c r="C54" i="1"/>
  <c r="F10" i="18"/>
  <c r="D38" i="13" l="1"/>
  <c r="E38" i="13" s="1"/>
  <c r="D38" i="10" s="1"/>
  <c r="D29" i="10"/>
  <c r="F14" i="18"/>
  <c r="E15" i="18"/>
  <c r="C11" i="16" s="1"/>
  <c r="D11" i="16" s="1"/>
  <c r="C54" i="10"/>
  <c r="D56" i="1"/>
  <c r="D55" i="1"/>
  <c r="D47" i="1"/>
  <c r="I48" i="12"/>
  <c r="E56" i="1"/>
  <c r="E47" i="1"/>
  <c r="E55" i="1"/>
  <c r="E53" i="1"/>
  <c r="E54" i="1"/>
  <c r="E15" i="13"/>
  <c r="E23" i="13" s="1"/>
  <c r="E29" i="13" s="1"/>
  <c r="E39" i="13" s="1"/>
  <c r="G45" i="5"/>
  <c r="G46" i="5" s="1"/>
  <c r="G48" i="5" s="1"/>
  <c r="I46" i="12"/>
  <c r="C10" i="16"/>
  <c r="F15" i="18"/>
  <c r="D53" i="10"/>
  <c r="D54" i="10"/>
  <c r="C29" i="10"/>
  <c r="C39" i="10" s="1"/>
  <c r="E55" i="13" l="1"/>
  <c r="E47" i="13"/>
  <c r="E56" i="13"/>
  <c r="E53" i="13"/>
  <c r="C13" i="16"/>
  <c r="D39" i="10"/>
  <c r="C55" i="10"/>
  <c r="C47" i="10"/>
  <c r="C56" i="10"/>
  <c r="D10" i="16"/>
  <c r="D12" i="16" s="1"/>
  <c r="C12" i="16"/>
  <c r="E54" i="13"/>
  <c r="D39" i="13"/>
  <c r="D55" i="10" l="1"/>
  <c r="D47" i="10"/>
  <c r="D56" i="10"/>
  <c r="D55" i="13"/>
  <c r="D47" i="13"/>
  <c r="D56" i="13"/>
  <c r="C15" i="16"/>
  <c r="C16" i="16" s="1"/>
  <c r="D13" i="16"/>
  <c r="D15" i="16" s="1"/>
  <c r="D16" i="16" s="1"/>
</calcChain>
</file>

<file path=xl/sharedStrings.xml><?xml version="1.0" encoding="utf-8"?>
<sst xmlns="http://schemas.openxmlformats.org/spreadsheetml/2006/main" count="630" uniqueCount="271">
  <si>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</si>
  <si>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</si>
  <si>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</si>
  <si>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</si>
  <si>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</si>
  <si>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</si>
  <si>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</si>
  <si>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</si>
  <si>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</si>
  <si>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</si>
  <si>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</si>
  <si>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</si>
  <si>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</si>
  <si>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</si>
  <si>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</si>
  <si>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</si>
  <si>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</si>
  <si>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</si>
  <si>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</si>
  <si>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</si>
  <si>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</si>
  <si>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</si>
  <si>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</si>
  <si>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</si>
  <si>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</si>
  <si>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</si>
  <si>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</si>
  <si>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</si>
  <si>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</si>
  <si>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</si>
  <si>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</si>
  <si>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</si>
  <si>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</si>
  <si>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</si>
  <si>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</si>
  <si>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</si>
  <si>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</si>
  <si>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</si>
  <si>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</si>
  <si>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</si>
  <si>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</si>
  <si>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</si>
  <si>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</si>
  <si>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</si>
  <si>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</si>
  <si>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</si>
  <si>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</si>
  <si>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</si>
  <si>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</si>
  <si>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</si>
  <si>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</si>
  <si>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</si>
  <si>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</si>
  <si>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</si>
  <si>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</si>
  <si>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</si>
  <si>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</si>
  <si>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</si>
  <si>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</si>
  <si>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</si>
  <si>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</si>
  <si>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</si>
  <si>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</si>
  <si>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</si>
  <si>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</si>
  <si>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</si>
  <si>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</si>
  <si>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</si>
  <si>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</si>
  <si>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</si>
  <si>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</si>
  <si>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</si>
  <si>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</si>
  <si>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</si>
  <si>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</si>
  <si>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</si>
  <si>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</si>
  <si>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</si>
  <si>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</si>
  <si>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</si>
  <si>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</si>
  <si>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</si>
  <si>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</si>
  <si>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</si>
  <si>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</si>
  <si>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</si>
  <si>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</si>
  <si>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</si>
  <si>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</si>
  <si>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</si>
  <si>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</si>
  <si>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</si>
  <si>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</si>
  <si>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</si>
  <si>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</si>
  <si>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</si>
  <si>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</si>
  <si>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</si>
  <si>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</si>
  <si>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</si>
  <si>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</si>
  <si>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</si>
  <si>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</si>
  <si>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</si>
  <si>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</si>
  <si>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</si>
  <si>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</si>
  <si>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</si>
  <si>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</si>
  <si>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</si>
  <si>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</si>
  <si>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</si>
  <si>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</si>
  <si>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</si>
  <si>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</si>
  <si>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</si>
  <si>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</si>
  <si>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</si>
  <si>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</si>
  <si>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</si>
  <si>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</si>
  <si>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</si>
  <si>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</si>
  <si>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</si>
  <si>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</si>
  <si>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</si>
  <si>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</si>
  <si>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</si>
  <si>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</si>
  <si>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</si>
  <si>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</si>
  <si>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</si>
  <si>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</si>
  <si>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</si>
  <si>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</si>
  <si>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</si>
  <si>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</si>
  <si>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</si>
  <si>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</si>
  <si>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</si>
  <si>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</si>
  <si>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</si>
  <si>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</si>
  <si>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</si>
  <si>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</si>
  <si>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</si>
  <si>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</si>
  <si>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</si>
  <si>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</si>
  <si>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</si>
  <si>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</si>
  <si>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</si>
  <si>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</si>
  <si>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</si>
  <si>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</si>
  <si>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</si>
  <si>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</si>
  <si>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</si>
  <si>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</si>
  <si>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</si>
  <si>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</si>
  <si>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</si>
  <si>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</si>
  <si>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</si>
  <si>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</si>
  <si>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</si>
  <si>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</si>
  <si>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</si>
  <si>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</si>
  <si>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</si>
  <si>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</si>
  <si>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</si>
  <si>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</si>
  <si>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</si>
  <si>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</si>
  <si>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</si>
  <si>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</si>
  <si>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</si>
  <si>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</si>
  <si>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</si>
  <si>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</si>
  <si>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</si>
  <si>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</si>
  <si>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</si>
  <si>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</si>
  <si>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</si>
  <si>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</si>
  <si>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</si>
  <si>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</si>
  <si>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</si>
  <si>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</si>
  <si>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</si>
  <si>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</si>
  <si>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</si>
  <si>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</si>
  <si>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</si>
  <si>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</si>
  <si>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</si>
  <si>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</si>
  <si>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</si>
  <si>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</si>
  <si>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</si>
  <si>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</si>
  <si>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</si>
  <si>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</si>
  <si>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</si>
  <si>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</si>
  <si>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</si>
  <si>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</si>
  <si>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</si>
  <si>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</si>
  <si>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</si>
  <si>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</si>
  <si>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</si>
  <si>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</si>
  <si>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</si>
  <si>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</si>
  <si>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</si>
  <si>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</si>
  <si>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</si>
  <si>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</si>
  <si>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</si>
  <si>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</si>
  <si>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</si>
  <si>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</si>
  <si>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</si>
  <si>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</si>
  <si>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</si>
  <si>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</si>
  <si>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</si>
  <si>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</si>
  <si>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</si>
  <si>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</si>
  <si>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</si>
  <si>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</si>
  <si>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</si>
  <si>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</si>
  <si>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</si>
  <si>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</si>
  <si>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</si>
  <si>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</si>
  <si>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</si>
  <si>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</si>
  <si>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</si>
  <si>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</si>
  <si>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</si>
  <si>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</si>
  <si>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</si>
  <si>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</si>
  <si>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</si>
  <si>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</si>
  <si>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</si>
  <si>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</si>
  <si>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</si>
  <si>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</si>
  <si>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</si>
  <si>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</si>
  <si>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</si>
  <si>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</si>
  <si>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</si>
  <si>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</si>
  <si>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</si>
  <si>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</si>
  <si>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</si>
  <si>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</si>
  <si>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</si>
  <si>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</si>
  <si>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</si>
  <si>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Pend Oreille Telephone Company</t>
  </si>
  <si>
    <t>PY 2014 using 2015 Categorization</t>
  </si>
  <si>
    <t>CY 2015 using 2014 Categorization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</si>
</sst>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10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F19" sqref="F19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zoomScale="85" zoomScaleNormal="85" workbookViewId="0">
      <selection activeCell="E27" sqref="E2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  <col min="7" max="7" width="18" customWidth="1"/>
    <col min="8" max="8" width="19.28515625" customWidth="1"/>
  </cols>
  <sheetData>
    <row r="2" spans="1:8" x14ac:dyDescent="0.25">
      <c r="B2" t="s">
        <v>181</v>
      </c>
    </row>
    <row r="3" spans="1:8" x14ac:dyDescent="0.25">
      <c r="B3" s="58" t="str">
        <f>PriorYearBalanceSheet!A3</f>
        <v>Pend Oreille Telephone Company</v>
      </c>
      <c r="C3" s="66"/>
      <c r="D3" s="66"/>
      <c r="E3" s="66"/>
    </row>
    <row r="4" spans="1:8" x14ac:dyDescent="0.25">
      <c r="B4" s="66"/>
      <c r="C4" s="66"/>
      <c r="D4" s="66"/>
      <c r="E4" s="66"/>
    </row>
    <row r="5" spans="1:8" x14ac:dyDescent="0.25">
      <c r="B5" s="66"/>
      <c r="C5" s="66"/>
      <c r="D5" s="66"/>
      <c r="E5" s="66"/>
    </row>
    <row r="6" spans="1:8" ht="15" customHeight="1" x14ac:dyDescent="0.25">
      <c r="A6" s="7"/>
      <c r="B6" s="7"/>
      <c r="C6" s="7"/>
      <c r="D6" s="10" t="s">
        <v>73</v>
      </c>
      <c r="E6" s="24" t="s">
        <v>125</v>
      </c>
      <c r="G6" s="126" t="s">
        <v>269</v>
      </c>
      <c r="H6" s="126" t="s">
        <v>270</v>
      </c>
    </row>
    <row r="7" spans="1:8" ht="15" customHeight="1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  <c r="G7" s="127"/>
      <c r="H7" s="127"/>
    </row>
    <row r="8" spans="1:8" x14ac:dyDescent="0.25">
      <c r="A8" s="20"/>
      <c r="B8" s="20"/>
      <c r="C8" s="12" t="s">
        <v>155</v>
      </c>
      <c r="D8" s="26"/>
      <c r="E8" s="30"/>
      <c r="G8" s="20"/>
      <c r="H8" s="20"/>
    </row>
    <row r="9" spans="1:8" x14ac:dyDescent="0.25">
      <c r="A9" s="10">
        <v>1</v>
      </c>
      <c r="B9" s="7" t="s">
        <v>156</v>
      </c>
      <c r="C9" s="28" t="s">
        <v>157</v>
      </c>
      <c r="D9" s="56">
        <v>198134</v>
      </c>
      <c r="E9" s="56">
        <v>196469</v>
      </c>
      <c r="G9" s="56">
        <v>198354.07999999996</v>
      </c>
      <c r="H9" s="56">
        <v>182217.58</v>
      </c>
    </row>
    <row r="10" spans="1:8" ht="15" customHeight="1" x14ac:dyDescent="0.25">
      <c r="A10" s="11">
        <v>2</v>
      </c>
      <c r="B10" s="45" t="s">
        <v>158</v>
      </c>
      <c r="C10" s="29" t="s">
        <v>159</v>
      </c>
      <c r="D10" s="45"/>
      <c r="E10" s="45"/>
      <c r="G10" s="45"/>
      <c r="H10" s="45"/>
    </row>
    <row r="11" spans="1:8" x14ac:dyDescent="0.25">
      <c r="A11" s="11" t="s">
        <v>206</v>
      </c>
      <c r="B11" s="18" t="s">
        <v>160</v>
      </c>
      <c r="C11" s="11"/>
      <c r="D11" s="125">
        <v>104407</v>
      </c>
      <c r="E11" s="53">
        <v>149903</v>
      </c>
      <c r="G11" s="53">
        <v>179737.22</v>
      </c>
      <c r="H11" s="53">
        <v>88385.43</v>
      </c>
    </row>
    <row r="12" spans="1:8" x14ac:dyDescent="0.25">
      <c r="A12" s="11" t="s">
        <v>207</v>
      </c>
      <c r="B12" s="18" t="s">
        <v>239</v>
      </c>
      <c r="C12" s="11"/>
      <c r="D12" s="125">
        <v>30993</v>
      </c>
      <c r="E12" s="53">
        <v>813375</v>
      </c>
      <c r="G12" s="53">
        <v>697171.94000000006</v>
      </c>
      <c r="H12" s="53">
        <v>28368.9</v>
      </c>
    </row>
    <row r="13" spans="1:8" ht="15" customHeight="1" x14ac:dyDescent="0.25">
      <c r="A13" s="11">
        <v>3</v>
      </c>
      <c r="B13" s="45" t="s">
        <v>162</v>
      </c>
      <c r="C13" s="11">
        <v>5083</v>
      </c>
      <c r="D13" s="45"/>
      <c r="E13" s="45"/>
      <c r="G13" s="45"/>
      <c r="H13" s="45"/>
    </row>
    <row r="14" spans="1:8" x14ac:dyDescent="0.25">
      <c r="A14" s="11" t="s">
        <v>208</v>
      </c>
      <c r="B14" s="18" t="s">
        <v>160</v>
      </c>
      <c r="C14" s="11"/>
      <c r="D14" s="125">
        <v>111417</v>
      </c>
      <c r="E14" s="53">
        <v>100009</v>
      </c>
      <c r="G14" s="53">
        <v>111417</v>
      </c>
      <c r="H14" s="53">
        <v>100009.17</v>
      </c>
    </row>
    <row r="15" spans="1:8" x14ac:dyDescent="0.25">
      <c r="A15" s="11" t="s">
        <v>209</v>
      </c>
      <c r="B15" s="18" t="s">
        <v>161</v>
      </c>
      <c r="C15" s="11"/>
      <c r="D15" s="125">
        <v>302822</v>
      </c>
      <c r="E15" s="53">
        <v>336869</v>
      </c>
      <c r="G15" s="53">
        <v>302822.05</v>
      </c>
      <c r="H15" s="53">
        <v>336868.52</v>
      </c>
    </row>
    <row r="16" spans="1:8" x14ac:dyDescent="0.25">
      <c r="A16" s="11">
        <v>4</v>
      </c>
      <c r="B16" s="18" t="s">
        <v>238</v>
      </c>
      <c r="C16" s="11" t="s">
        <v>163</v>
      </c>
      <c r="D16" s="125">
        <v>1158803</v>
      </c>
      <c r="E16" s="53">
        <v>452927</v>
      </c>
      <c r="G16" s="53">
        <v>417074</v>
      </c>
      <c r="H16" s="53">
        <v>1313702.0499999998</v>
      </c>
    </row>
    <row r="17" spans="1:8" x14ac:dyDescent="0.25">
      <c r="A17" s="11">
        <v>5</v>
      </c>
      <c r="B17" s="18" t="s">
        <v>228</v>
      </c>
      <c r="C17" s="11"/>
      <c r="D17" s="125">
        <v>0</v>
      </c>
      <c r="E17" s="53">
        <v>154369</v>
      </c>
      <c r="G17" s="53">
        <v>-1444</v>
      </c>
      <c r="H17" s="53">
        <v>154600</v>
      </c>
    </row>
    <row r="18" spans="1:8" x14ac:dyDescent="0.25">
      <c r="A18" s="11">
        <v>6</v>
      </c>
      <c r="B18" s="18" t="s">
        <v>184</v>
      </c>
      <c r="C18" s="12"/>
      <c r="D18" s="118">
        <v>-1444</v>
      </c>
      <c r="E18" s="54"/>
      <c r="G18" s="54">
        <v>0</v>
      </c>
      <c r="H18" s="54">
        <v>-231</v>
      </c>
    </row>
    <row r="19" spans="1:8" x14ac:dyDescent="0.25">
      <c r="A19" s="11">
        <v>7</v>
      </c>
      <c r="B19" s="18" t="s">
        <v>164</v>
      </c>
      <c r="C19" s="7"/>
      <c r="D19" s="36">
        <f>D9+D11+D12+D14+D15+D16+D17+D18</f>
        <v>1905132</v>
      </c>
      <c r="E19" s="36">
        <f>E9+E11+E12+E14+E15+E16+E17+E18</f>
        <v>2203921</v>
      </c>
      <c r="G19" s="38">
        <f>G9+G11+G12+G14+G15+G16+G17+G18</f>
        <v>1905132.29</v>
      </c>
      <c r="H19" s="38">
        <f>H9+H11+H12+H14+H15+H16+H17+H18</f>
        <v>2203920.65</v>
      </c>
    </row>
    <row r="20" spans="1:8" x14ac:dyDescent="0.25">
      <c r="A20" s="11">
        <v>8</v>
      </c>
      <c r="B20" s="19" t="s">
        <v>170</v>
      </c>
      <c r="C20" s="18"/>
      <c r="D20" s="38">
        <f>IncomeStmtSummary!C10</f>
        <v>1905132.29</v>
      </c>
      <c r="E20" s="38">
        <f>IncomeStmtSummary!D10</f>
        <v>2203921</v>
      </c>
    </row>
    <row r="21" spans="1:8" ht="15.75" thickBot="1" x14ac:dyDescent="0.3">
      <c r="A21" s="12">
        <v>9</v>
      </c>
      <c r="B21" s="52" t="s">
        <v>141</v>
      </c>
      <c r="C21" s="20"/>
      <c r="D21" s="51">
        <f>D19-D20</f>
        <v>-0.2900000000372529</v>
      </c>
      <c r="E21" s="35">
        <f>E19-E20</f>
        <v>0</v>
      </c>
    </row>
    <row r="22" spans="1:8" ht="15.75" thickTop="1" x14ac:dyDescent="0.25">
      <c r="B22" s="72" t="s">
        <v>211</v>
      </c>
      <c r="C22" s="66"/>
      <c r="D22" s="66"/>
      <c r="E22" s="66"/>
    </row>
    <row r="23" spans="1:8" x14ac:dyDescent="0.25">
      <c r="B23" t="s">
        <v>185</v>
      </c>
      <c r="C23" s="66"/>
      <c r="D23" s="66"/>
      <c r="E23" s="66"/>
    </row>
    <row r="24" spans="1:8" x14ac:dyDescent="0.25">
      <c r="B24" t="s">
        <v>186</v>
      </c>
      <c r="C24" s="66"/>
      <c r="D24" s="66"/>
      <c r="E24" s="66"/>
    </row>
    <row r="25" spans="1:8" x14ac:dyDescent="0.25">
      <c r="A25" s="66"/>
      <c r="B25" s="66"/>
      <c r="C25" s="66"/>
      <c r="D25" s="66"/>
      <c r="E25" s="66"/>
    </row>
    <row r="26" spans="1:8" x14ac:dyDescent="0.25">
      <c r="A26" s="66"/>
      <c r="B26" s="66"/>
      <c r="C26" s="66"/>
      <c r="D26" s="66"/>
      <c r="E26" s="66"/>
    </row>
    <row r="27" spans="1:8" x14ac:dyDescent="0.25">
      <c r="A27" s="66"/>
      <c r="B27" s="66"/>
      <c r="C27" s="66"/>
      <c r="D27" s="66"/>
      <c r="E27" s="66"/>
    </row>
    <row r="28" spans="1:8" x14ac:dyDescent="0.25">
      <c r="A28" s="66"/>
      <c r="B28" s="66"/>
      <c r="C28" s="66"/>
      <c r="D28" s="66"/>
      <c r="E28" s="66"/>
    </row>
    <row r="29" spans="1:8" x14ac:dyDescent="0.25">
      <c r="A29" s="66"/>
      <c r="B29" s="66"/>
      <c r="C29" s="66"/>
      <c r="D29" s="66"/>
      <c r="E29" s="66"/>
    </row>
    <row r="30" spans="1:8" x14ac:dyDescent="0.25">
      <c r="A30" s="66"/>
      <c r="B30" s="66"/>
      <c r="C30" s="66"/>
      <c r="D30" s="66"/>
      <c r="E30" s="66"/>
    </row>
    <row r="31" spans="1:8" x14ac:dyDescent="0.25">
      <c r="A31" s="66"/>
      <c r="B31" s="66"/>
      <c r="C31" s="66"/>
      <c r="D31" s="66"/>
      <c r="E31" s="66"/>
    </row>
    <row r="32" spans="1:8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selectLockedCells="1"/>
  <mergeCells count="2">
    <mergeCell ref="G6:G7"/>
    <mergeCell ref="H6:H7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F19" sqref="F19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Pend Oreille Telephone Company</v>
      </c>
      <c r="B3" s="67"/>
    </row>
    <row r="6" spans="1:5" x14ac:dyDescent="0.25">
      <c r="A6" s="10" t="s">
        <v>258</v>
      </c>
      <c r="B6" s="10" t="s">
        <v>263</v>
      </c>
      <c r="C6" s="7"/>
      <c r="D6" s="128" t="s">
        <v>222</v>
      </c>
      <c r="E6" s="129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4" zoomScaleNormal="100" workbookViewId="0">
      <selection activeCell="C23" sqref="C23"/>
    </sheetView>
  </sheetViews>
  <sheetFormatPr defaultColWidth="9.140625"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Pend Oreille Telephone Company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2182940.6100000003</v>
      </c>
      <c r="D10" s="85">
        <f>C10</f>
        <v>2182940.6100000003</v>
      </c>
    </row>
    <row r="11" spans="1:4" x14ac:dyDescent="0.25">
      <c r="A11" s="76">
        <v>2</v>
      </c>
      <c r="B11" s="81" t="s">
        <v>196</v>
      </c>
      <c r="C11" s="101">
        <f>'RateBase '!E15</f>
        <v>2006644</v>
      </c>
      <c r="D11" s="101">
        <f>C11</f>
        <v>2006644</v>
      </c>
    </row>
    <row r="12" spans="1:4" x14ac:dyDescent="0.25">
      <c r="A12" s="76">
        <v>3</v>
      </c>
      <c r="B12" s="96" t="s">
        <v>197</v>
      </c>
      <c r="C12" s="83">
        <f>(C10+C11)/2</f>
        <v>2094792.3050000002</v>
      </c>
      <c r="D12" s="83">
        <f>(D10+D11)/2</f>
        <v>2094792.3050000002</v>
      </c>
    </row>
    <row r="13" spans="1:4" x14ac:dyDescent="0.25">
      <c r="A13" s="76">
        <v>4</v>
      </c>
      <c r="B13" s="81" t="s">
        <v>198</v>
      </c>
      <c r="C13" s="59">
        <f>IncomeStmtSummary!D29</f>
        <v>284990</v>
      </c>
      <c r="D13" s="59">
        <f>C13</f>
        <v>284990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284990</v>
      </c>
      <c r="D15" s="83">
        <f>D13+D14</f>
        <v>284990</v>
      </c>
    </row>
    <row r="16" spans="1:4" x14ac:dyDescent="0.25">
      <c r="A16" s="76">
        <v>7</v>
      </c>
      <c r="B16" s="96" t="s">
        <v>199</v>
      </c>
      <c r="C16" s="84">
        <f>C15/C12</f>
        <v>0.13604690036323194</v>
      </c>
      <c r="D16" s="84">
        <f>D15/D12</f>
        <v>0.13604690036323194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2355407</v>
      </c>
      <c r="D19" s="80">
        <f>C19</f>
        <v>2355407</v>
      </c>
    </row>
    <row r="20" spans="1:7" x14ac:dyDescent="0.25">
      <c r="A20" s="76">
        <v>9</v>
      </c>
      <c r="B20" s="81" t="s">
        <v>204</v>
      </c>
      <c r="C20" s="86">
        <v>2466627</v>
      </c>
      <c r="D20" s="86">
        <f>C20</f>
        <v>2466627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2411017</v>
      </c>
      <c r="D21" s="83">
        <f t="shared" si="0"/>
        <v>2411017</v>
      </c>
    </row>
    <row r="22" spans="1:7" x14ac:dyDescent="0.25">
      <c r="A22" s="76">
        <v>11</v>
      </c>
      <c r="B22" s="81" t="s">
        <v>205</v>
      </c>
      <c r="C22" s="53">
        <v>291168</v>
      </c>
      <c r="D22" s="53">
        <f>C22</f>
        <v>291168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291168</v>
      </c>
      <c r="D24" s="83">
        <f>D22+D23</f>
        <v>291168</v>
      </c>
    </row>
    <row r="25" spans="1:7" x14ac:dyDescent="0.25">
      <c r="A25" s="93">
        <v>14</v>
      </c>
      <c r="B25" s="99" t="s">
        <v>201</v>
      </c>
      <c r="C25" s="87">
        <f>C24/C21</f>
        <v>0.120765635414433</v>
      </c>
      <c r="D25" s="87">
        <f>D24/D21</f>
        <v>0.120765635414433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0" zoomScale="70" zoomScaleNormal="70" workbookViewId="0">
      <selection activeCell="G39" sqref="G39:G4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566520.74</v>
      </c>
      <c r="C10" s="55"/>
      <c r="D10" s="59">
        <f>SUM(B10:C10)</f>
        <v>566520.74</v>
      </c>
      <c r="E10" s="18"/>
      <c r="F10" s="18" t="s">
        <v>78</v>
      </c>
      <c r="G10" s="53">
        <v>142660.13</v>
      </c>
      <c r="H10" s="55"/>
      <c r="I10" s="59">
        <f>SUM(G10:H10)</f>
        <v>142660.13</v>
      </c>
    </row>
    <row r="11" spans="1:9" x14ac:dyDescent="0.25">
      <c r="A11" s="18" t="s">
        <v>145</v>
      </c>
      <c r="B11" s="53">
        <v>864.5</v>
      </c>
      <c r="C11" s="55"/>
      <c r="D11" s="59">
        <f>SUM(B11:C11)</f>
        <v>864.5</v>
      </c>
      <c r="E11" s="18"/>
      <c r="F11" s="18" t="s">
        <v>81</v>
      </c>
      <c r="G11" s="53">
        <v>0</v>
      </c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0</v>
      </c>
      <c r="H12" s="55"/>
      <c r="I12" s="59">
        <f t="shared" si="0"/>
        <v>0</v>
      </c>
    </row>
    <row r="13" spans="1:9" x14ac:dyDescent="0.25">
      <c r="A13" s="18" t="s">
        <v>44</v>
      </c>
      <c r="B13" s="53">
        <v>0</v>
      </c>
      <c r="C13" s="55"/>
      <c r="D13" s="59">
        <f>SUM(B13:C13)</f>
        <v>0</v>
      </c>
      <c r="E13" s="18"/>
      <c r="F13" s="18" t="s">
        <v>83</v>
      </c>
      <c r="G13" s="53">
        <v>4910</v>
      </c>
      <c r="H13" s="55"/>
      <c r="I13" s="59">
        <f t="shared" si="0"/>
        <v>4910</v>
      </c>
    </row>
    <row r="14" spans="1:9" x14ac:dyDescent="0.25">
      <c r="A14" s="18" t="s">
        <v>47</v>
      </c>
      <c r="B14" s="53">
        <v>293881.59999999998</v>
      </c>
      <c r="C14" s="55"/>
      <c r="D14" s="59">
        <f t="shared" ref="D14:D15" si="1">SUM(B14:C14)</f>
        <v>293881.59999999998</v>
      </c>
      <c r="E14" s="18"/>
      <c r="F14" s="18" t="s">
        <v>84</v>
      </c>
      <c r="G14" s="53">
        <v>93408</v>
      </c>
      <c r="H14" s="55"/>
      <c r="I14" s="59">
        <f t="shared" si="0"/>
        <v>93408</v>
      </c>
    </row>
    <row r="15" spans="1:9" x14ac:dyDescent="0.25">
      <c r="A15" s="18" t="s">
        <v>45</v>
      </c>
      <c r="B15" s="53">
        <v>80746.720000000001</v>
      </c>
      <c r="C15" s="55"/>
      <c r="D15" s="59">
        <f t="shared" si="1"/>
        <v>80746.720000000001</v>
      </c>
      <c r="E15" s="18"/>
      <c r="F15" s="18" t="s">
        <v>85</v>
      </c>
      <c r="G15" s="53">
        <v>0</v>
      </c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5"/>
      <c r="I16" s="59">
        <f t="shared" si="0"/>
        <v>0</v>
      </c>
    </row>
    <row r="17" spans="1:9" x14ac:dyDescent="0.25">
      <c r="A17" s="18" t="s">
        <v>44</v>
      </c>
      <c r="B17" s="53">
        <v>57788.34</v>
      </c>
      <c r="C17" s="55"/>
      <c r="D17" s="59">
        <f>SUM(B17:C17)</f>
        <v>57788.34</v>
      </c>
      <c r="E17" s="19"/>
      <c r="F17" s="18" t="s">
        <v>87</v>
      </c>
      <c r="G17" s="53">
        <v>0</v>
      </c>
      <c r="H17" s="55"/>
      <c r="I17" s="59">
        <f t="shared" si="0"/>
        <v>0</v>
      </c>
    </row>
    <row r="18" spans="1:9" x14ac:dyDescent="0.25">
      <c r="A18" s="18" t="s">
        <v>47</v>
      </c>
      <c r="B18" s="53">
        <v>209746.9</v>
      </c>
      <c r="C18" s="55"/>
      <c r="D18" s="59">
        <f t="shared" ref="D18:D24" si="2">SUM(B18:C18)</f>
        <v>209746.9</v>
      </c>
      <c r="E18" s="18"/>
      <c r="F18" s="18" t="s">
        <v>88</v>
      </c>
      <c r="G18" s="53">
        <v>0</v>
      </c>
      <c r="H18" s="55"/>
      <c r="I18" s="59">
        <f t="shared" si="0"/>
        <v>0</v>
      </c>
    </row>
    <row r="19" spans="1:9" x14ac:dyDescent="0.25">
      <c r="A19" s="18" t="s">
        <v>45</v>
      </c>
      <c r="B19" s="53">
        <v>0</v>
      </c>
      <c r="C19" s="55"/>
      <c r="D19" s="59">
        <f t="shared" si="2"/>
        <v>0</v>
      </c>
      <c r="E19" s="18"/>
      <c r="F19" s="18" t="s">
        <v>89</v>
      </c>
      <c r="G19" s="54">
        <v>52379.13</v>
      </c>
      <c r="H19" s="120"/>
      <c r="I19" s="60">
        <f t="shared" si="0"/>
        <v>52379.13</v>
      </c>
    </row>
    <row r="20" spans="1:9" x14ac:dyDescent="0.25">
      <c r="A20" s="18" t="s">
        <v>48</v>
      </c>
      <c r="B20" s="53">
        <v>0</v>
      </c>
      <c r="C20" s="55"/>
      <c r="D20" s="59">
        <f t="shared" si="2"/>
        <v>0</v>
      </c>
      <c r="E20" s="18"/>
      <c r="F20" s="18" t="s">
        <v>120</v>
      </c>
      <c r="G20" s="59">
        <f>SUM(G10:G19)</f>
        <v>293357.26</v>
      </c>
      <c r="H20" s="59">
        <f>SUM(H10:H19)</f>
        <v>0</v>
      </c>
      <c r="I20" s="59">
        <f t="shared" ref="I20" si="3">SUM(I10:I19)</f>
        <v>293357.26</v>
      </c>
    </row>
    <row r="21" spans="1:9" x14ac:dyDescent="0.25">
      <c r="A21" s="18" t="s">
        <v>49</v>
      </c>
      <c r="B21" s="53">
        <v>218892.38</v>
      </c>
      <c r="C21" s="55"/>
      <c r="D21" s="59">
        <f t="shared" si="2"/>
        <v>218892.38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9717.2800000000007</v>
      </c>
      <c r="C22" s="55">
        <v>-9717.2800000000007</v>
      </c>
      <c r="D22" s="59">
        <f t="shared" si="2"/>
        <v>0</v>
      </c>
      <c r="E22" s="18"/>
      <c r="F22" s="18" t="s">
        <v>92</v>
      </c>
      <c r="G22" s="53">
        <v>1200832.21</v>
      </c>
      <c r="H22" s="55"/>
      <c r="I22" s="59">
        <f>SUM(G22:H22)</f>
        <v>1200832.21</v>
      </c>
    </row>
    <row r="23" spans="1:9" x14ac:dyDescent="0.25">
      <c r="A23" s="18" t="s">
        <v>51</v>
      </c>
      <c r="B23" s="53">
        <v>0</v>
      </c>
      <c r="C23" s="55"/>
      <c r="D23" s="59">
        <f t="shared" si="2"/>
        <v>0</v>
      </c>
      <c r="E23" s="18"/>
      <c r="F23" s="18" t="s">
        <v>93</v>
      </c>
      <c r="G23" s="53">
        <v>0</v>
      </c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67799.14</v>
      </c>
      <c r="C24" s="120"/>
      <c r="D24" s="60">
        <f t="shared" si="2"/>
        <v>67799.14</v>
      </c>
      <c r="E24" s="18"/>
      <c r="F24" s="18" t="s">
        <v>94</v>
      </c>
      <c r="G24" s="53">
        <v>0</v>
      </c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1505957.5999999996</v>
      </c>
      <c r="C25" s="59">
        <f>C10+C11+C13+C14+C15+C17+C18+C19+C20+C21+C22+C23+C24</f>
        <v>-9717.2800000000007</v>
      </c>
      <c r="D25" s="59">
        <f t="shared" ref="D25" si="5">D10+D11+D13+D14+D15+D17+D18+D19+D20+D21+D22+D23+D24</f>
        <v>1496240.3199999996</v>
      </c>
      <c r="E25" s="18"/>
      <c r="F25" s="18" t="s">
        <v>95</v>
      </c>
      <c r="G25" s="53">
        <v>0</v>
      </c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>
        <v>0</v>
      </c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>
        <v>0</v>
      </c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0</v>
      </c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1200832.21</v>
      </c>
      <c r="H32" s="59">
        <f>SUM(H22:H31)</f>
        <v>0</v>
      </c>
      <c r="I32" s="59">
        <f t="shared" ref="I32" si="6">SUM(I22:I31)</f>
        <v>1200832.21</v>
      </c>
    </row>
    <row r="33" spans="1:9" x14ac:dyDescent="0.25">
      <c r="A33" s="18" t="s">
        <v>58</v>
      </c>
      <c r="B33" s="53">
        <v>332265.40000000002</v>
      </c>
      <c r="C33" s="55"/>
      <c r="D33" s="59">
        <f t="shared" ref="D33:D37" si="7">SUM(B33:C33)</f>
        <v>332265.40000000002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>
        <v>0</v>
      </c>
      <c r="C34" s="70">
        <f>-1*(C25+C29+C30+C32+C33+C35+C36+C37+C46)</f>
        <v>14516.28</v>
      </c>
      <c r="D34" s="59">
        <f t="shared" si="7"/>
        <v>14516.28</v>
      </c>
      <c r="E34" s="18"/>
      <c r="F34" s="18" t="s">
        <v>103</v>
      </c>
      <c r="G34" s="53">
        <v>342946</v>
      </c>
      <c r="H34" s="55">
        <v>-636</v>
      </c>
      <c r="I34" s="59">
        <f>SUM(G34:H34)</f>
        <v>342310</v>
      </c>
    </row>
    <row r="35" spans="1:9" x14ac:dyDescent="0.25">
      <c r="A35" s="18" t="s">
        <v>62</v>
      </c>
      <c r="B35" s="53">
        <v>0</v>
      </c>
      <c r="C35" s="55"/>
      <c r="D35" s="59">
        <f t="shared" si="7"/>
        <v>0</v>
      </c>
      <c r="E35" s="18"/>
      <c r="F35" s="18" t="s">
        <v>147</v>
      </c>
      <c r="G35" s="53">
        <v>0</v>
      </c>
      <c r="H35" s="121"/>
      <c r="I35" s="59">
        <f t="shared" ref="I35:I36" si="8">SUM(G35:H35)</f>
        <v>0</v>
      </c>
    </row>
    <row r="36" spans="1:9" x14ac:dyDescent="0.25">
      <c r="A36" s="18" t="s">
        <v>63</v>
      </c>
      <c r="B36" s="53">
        <v>0</v>
      </c>
      <c r="C36" s="55"/>
      <c r="D36" s="59">
        <f t="shared" si="7"/>
        <v>0</v>
      </c>
      <c r="E36" s="18"/>
      <c r="F36" s="18" t="s">
        <v>104</v>
      </c>
      <c r="G36" s="54">
        <v>0</v>
      </c>
      <c r="H36" s="120"/>
      <c r="I36" s="60">
        <f t="shared" si="8"/>
        <v>0</v>
      </c>
    </row>
    <row r="37" spans="1:9" x14ac:dyDescent="0.25">
      <c r="A37" s="18" t="s">
        <v>64</v>
      </c>
      <c r="B37" s="54">
        <v>0</v>
      </c>
      <c r="C37" s="120"/>
      <c r="D37" s="60">
        <f t="shared" si="7"/>
        <v>0</v>
      </c>
      <c r="E37" s="18"/>
      <c r="F37" s="18" t="s">
        <v>105</v>
      </c>
      <c r="G37" s="59">
        <f>SUM(G34:G36)</f>
        <v>342946</v>
      </c>
      <c r="H37" s="59">
        <f t="shared" ref="H37:I37" si="9">SUM(H34:H36)</f>
        <v>-636</v>
      </c>
      <c r="I37" s="59">
        <f t="shared" si="9"/>
        <v>342310</v>
      </c>
    </row>
    <row r="38" spans="1:9" x14ac:dyDescent="0.25">
      <c r="A38" s="18" t="s">
        <v>65</v>
      </c>
      <c r="B38" s="59">
        <f>B29+B30+B32+B33+B34+B35+B36+B37</f>
        <v>332265.40000000002</v>
      </c>
      <c r="C38" s="59">
        <f>C29+C30+C32+C33+C34+C35+C36+C37</f>
        <v>14516.28</v>
      </c>
      <c r="D38" s="59">
        <f t="shared" ref="D38" si="10">D29+D30+D32+D33+D34+D35+D36+D37</f>
        <v>346781.68000000005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59">
        <f>SUM(G39:H39)</f>
        <v>2666346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59">
        <f t="shared" ref="I40:I45" si="11">SUM(G40:H40)</f>
        <v>0</v>
      </c>
    </row>
    <row r="41" spans="1:9" x14ac:dyDescent="0.25">
      <c r="A41" s="18" t="s">
        <v>180</v>
      </c>
      <c r="B41" s="53">
        <v>16626706.99</v>
      </c>
      <c r="C41" s="53">
        <v>-31050</v>
      </c>
      <c r="D41" s="59">
        <f>SUM(B41:C41)</f>
        <v>16595656.99</v>
      </c>
      <c r="E41" s="18"/>
      <c r="F41" s="18" t="s">
        <v>109</v>
      </c>
      <c r="G41" s="53">
        <v>0</v>
      </c>
      <c r="H41" s="23"/>
      <c r="I41" s="59">
        <f t="shared" si="11"/>
        <v>0</v>
      </c>
    </row>
    <row r="42" spans="1:9" x14ac:dyDescent="0.25">
      <c r="A42" s="18" t="s">
        <v>68</v>
      </c>
      <c r="B42" s="53">
        <v>1250</v>
      </c>
      <c r="C42" s="53">
        <v>-1250</v>
      </c>
      <c r="D42" s="59">
        <f t="shared" ref="D42:D45" si="12">SUM(B42:C42)</f>
        <v>0</v>
      </c>
      <c r="E42" s="18"/>
      <c r="F42" s="18" t="s">
        <v>110</v>
      </c>
      <c r="G42" s="53">
        <v>0</v>
      </c>
      <c r="H42" s="23"/>
      <c r="I42" s="59">
        <f t="shared" si="11"/>
        <v>0</v>
      </c>
    </row>
    <row r="43" spans="1:9" x14ac:dyDescent="0.25">
      <c r="A43" s="18" t="s">
        <v>69</v>
      </c>
      <c r="B43" s="53">
        <v>40128.33</v>
      </c>
      <c r="C43" s="53">
        <v>2397</v>
      </c>
      <c r="D43" s="59">
        <f t="shared" si="12"/>
        <v>42525.33</v>
      </c>
      <c r="E43" s="18"/>
      <c r="F43" s="18" t="s">
        <v>111</v>
      </c>
      <c r="G43" s="53">
        <v>0</v>
      </c>
      <c r="H43" s="23"/>
      <c r="I43" s="59">
        <f t="shared" si="11"/>
        <v>0</v>
      </c>
    </row>
    <row r="44" spans="1:9" x14ac:dyDescent="0.25">
      <c r="A44" s="18" t="s">
        <v>70</v>
      </c>
      <c r="B44" s="53">
        <v>0</v>
      </c>
      <c r="C44" s="53"/>
      <c r="D44" s="59">
        <f t="shared" si="12"/>
        <v>0</v>
      </c>
      <c r="E44" s="18"/>
      <c r="F44" s="18" t="s">
        <v>112</v>
      </c>
      <c r="G44" s="53">
        <v>0</v>
      </c>
      <c r="H44" s="23"/>
      <c r="I44" s="59">
        <f t="shared" si="11"/>
        <v>0</v>
      </c>
    </row>
    <row r="45" spans="1:9" x14ac:dyDescent="0.25">
      <c r="A45" s="18" t="s">
        <v>121</v>
      </c>
      <c r="B45" s="54">
        <v>-14314402.76</v>
      </c>
      <c r="C45" s="54">
        <v>25104</v>
      </c>
      <c r="D45" s="60">
        <f t="shared" si="12"/>
        <v>-14289298.76</v>
      </c>
      <c r="E45" s="18"/>
      <c r="F45" s="18" t="s">
        <v>172</v>
      </c>
      <c r="G45" s="54">
        <v>-311575</v>
      </c>
      <c r="H45" s="102">
        <f>-1*(H20+H32+H37)</f>
        <v>636</v>
      </c>
      <c r="I45" s="60">
        <f t="shared" si="11"/>
        <v>-310939</v>
      </c>
    </row>
    <row r="46" spans="1:9" x14ac:dyDescent="0.25">
      <c r="A46" s="18" t="s">
        <v>71</v>
      </c>
      <c r="B46" s="59">
        <f>B41+B42+B43+B44+B45</f>
        <v>2353682.5600000005</v>
      </c>
      <c r="C46" s="59">
        <f t="shared" ref="C46:D46" si="13">C41+C42+C43+C44+C45</f>
        <v>-4799</v>
      </c>
      <c r="D46" s="59">
        <f t="shared" si="13"/>
        <v>2348883.5600000005</v>
      </c>
      <c r="E46" s="18"/>
      <c r="F46" s="18" t="s">
        <v>114</v>
      </c>
      <c r="G46" s="59">
        <f>SUM(G39:G45)</f>
        <v>2354771</v>
      </c>
      <c r="H46" s="62">
        <f t="shared" ref="H46:I46" si="14">SUM(H39:H45)</f>
        <v>636</v>
      </c>
      <c r="I46" s="59">
        <f t="shared" si="14"/>
        <v>2355407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4191905.56</v>
      </c>
      <c r="C48" s="61">
        <f t="shared" ref="C48:D48" si="15">C25+C38+C46</f>
        <v>0</v>
      </c>
      <c r="D48" s="61">
        <f t="shared" si="15"/>
        <v>4191905.56</v>
      </c>
      <c r="E48" s="18"/>
      <c r="F48" s="22" t="s">
        <v>115</v>
      </c>
      <c r="G48" s="61">
        <f>G20+G32+G37+G46</f>
        <v>4191906.4699999997</v>
      </c>
      <c r="H48" s="61">
        <f t="shared" ref="H48:I48" si="16">H20+H32+H37+H46</f>
        <v>0</v>
      </c>
      <c r="I48" s="61">
        <f t="shared" si="16"/>
        <v>4191906.4699999997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10" zoomScale="70" zoomScaleNormal="70" workbookViewId="0">
      <selection activeCell="C51" sqref="C5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Pend Oreille Telephone Company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1159709</v>
      </c>
      <c r="C10" s="55"/>
      <c r="D10" s="59">
        <f>SUM(B10:C10)</f>
        <v>1159709</v>
      </c>
      <c r="E10" s="18"/>
      <c r="F10" s="18" t="s">
        <v>78</v>
      </c>
      <c r="G10" s="53">
        <v>169683</v>
      </c>
      <c r="H10" s="55"/>
      <c r="I10" s="59">
        <f>SUM(G10:H10)</f>
        <v>169683</v>
      </c>
    </row>
    <row r="11" spans="1:9" x14ac:dyDescent="0.25">
      <c r="A11" s="18" t="s">
        <v>145</v>
      </c>
      <c r="B11" s="53">
        <v>865</v>
      </c>
      <c r="C11" s="55"/>
      <c r="D11" s="59">
        <f>SUM(B11:C11)</f>
        <v>865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213068</v>
      </c>
      <c r="H12" s="55"/>
      <c r="I12" s="59">
        <f t="shared" si="0"/>
        <v>213068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4650</v>
      </c>
      <c r="H13" s="55"/>
      <c r="I13" s="59">
        <f t="shared" si="0"/>
        <v>4650</v>
      </c>
    </row>
    <row r="14" spans="1:9" x14ac:dyDescent="0.25">
      <c r="A14" s="18" t="s">
        <v>47</v>
      </c>
      <c r="B14" s="53">
        <v>179221</v>
      </c>
      <c r="C14" s="55"/>
      <c r="D14" s="59">
        <f t="shared" ref="D14:D15" si="1">SUM(B14:C14)</f>
        <v>179221</v>
      </c>
      <c r="E14" s="18"/>
      <c r="F14" s="18" t="s">
        <v>84</v>
      </c>
      <c r="G14" s="53">
        <v>98188</v>
      </c>
      <c r="H14" s="55"/>
      <c r="I14" s="59">
        <f t="shared" si="0"/>
        <v>98188</v>
      </c>
    </row>
    <row r="15" spans="1:9" x14ac:dyDescent="0.25">
      <c r="A15" s="18" t="s">
        <v>45</v>
      </c>
      <c r="B15" s="53">
        <v>82377</v>
      </c>
      <c r="C15" s="55"/>
      <c r="D15" s="59">
        <f t="shared" si="1"/>
        <v>82377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46076</v>
      </c>
      <c r="C17" s="55"/>
      <c r="D17" s="59">
        <f>SUM(B17:C17)</f>
        <v>46076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>
        <v>183224</v>
      </c>
      <c r="C18" s="55"/>
      <c r="D18" s="59">
        <f t="shared" ref="D18:D24" si="2">SUM(B18:C18)</f>
        <v>183224</v>
      </c>
      <c r="E18" s="18"/>
      <c r="F18" s="18" t="s">
        <v>88</v>
      </c>
      <c r="G18" s="53"/>
      <c r="H18" s="55"/>
      <c r="I18" s="59">
        <f t="shared" si="0"/>
        <v>0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52702</v>
      </c>
      <c r="H19" s="120"/>
      <c r="I19" s="60">
        <f t="shared" si="0"/>
        <v>52702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538291</v>
      </c>
      <c r="H20" s="59">
        <f>SUM(H10:H19)</f>
        <v>0</v>
      </c>
      <c r="I20" s="59">
        <f t="shared" ref="I20" si="3">SUM(I10:I19)</f>
        <v>538291</v>
      </c>
    </row>
    <row r="21" spans="1:9" x14ac:dyDescent="0.25">
      <c r="A21" s="18" t="s">
        <v>49</v>
      </c>
      <c r="B21" s="53">
        <v>185149</v>
      </c>
      <c r="C21" s="55"/>
      <c r="D21" s="59">
        <f t="shared" si="2"/>
        <v>185149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5843</v>
      </c>
      <c r="C22" s="55">
        <v>-5843</v>
      </c>
      <c r="D22" s="59">
        <f t="shared" si="2"/>
        <v>0</v>
      </c>
      <c r="E22" s="18"/>
      <c r="F22" s="18" t="s">
        <v>92</v>
      </c>
      <c r="G22" s="53">
        <v>1102618</v>
      </c>
      <c r="H22" s="55"/>
      <c r="I22" s="59">
        <f>SUM(G22:H22)</f>
        <v>1102618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71882</v>
      </c>
      <c r="C24" s="120"/>
      <c r="D24" s="60">
        <f t="shared" si="2"/>
        <v>71882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1914346</v>
      </c>
      <c r="C25" s="59">
        <f>C10+C11+C13+C14+C15+C17+C18+C19+C20+C21+C22+C23+C24</f>
        <v>-5843</v>
      </c>
      <c r="D25" s="59">
        <f t="shared" ref="D25" si="5">D10+D11+D13+D14+D15+D17+D18+D19+D20+D21+D22+D23+D24</f>
        <v>1908503</v>
      </c>
      <c r="E25" s="18"/>
      <c r="F25" s="18" t="s">
        <v>95</v>
      </c>
      <c r="G25" s="53">
        <v>40598</v>
      </c>
      <c r="H25" s="55"/>
      <c r="I25" s="59">
        <f t="shared" si="4"/>
        <v>40598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/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1143216</v>
      </c>
      <c r="H32" s="59">
        <f>SUM(H22:H31)</f>
        <v>0</v>
      </c>
      <c r="I32" s="59">
        <f t="shared" ref="I32" si="6">SUM(I22:I31)</f>
        <v>1143216</v>
      </c>
    </row>
    <row r="33" spans="1:11" x14ac:dyDescent="0.25">
      <c r="A33" s="18" t="s">
        <v>58</v>
      </c>
      <c r="B33" s="53">
        <v>291118</v>
      </c>
      <c r="C33" s="55"/>
      <c r="D33" s="59">
        <f t="shared" ref="D33:D37" si="7">SUM(B33:C33)</f>
        <v>291118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/>
      <c r="C34" s="70">
        <f>-1*(C25+C29+C30+C32+C33+C35+C36+C37+C46)</f>
        <v>29850</v>
      </c>
      <c r="D34" s="59">
        <f t="shared" si="7"/>
        <v>29850</v>
      </c>
      <c r="E34" s="18"/>
      <c r="F34" s="18" t="s">
        <v>103</v>
      </c>
      <c r="G34" s="53">
        <v>335110</v>
      </c>
      <c r="H34" s="55">
        <v>-1908</v>
      </c>
      <c r="I34" s="59">
        <f>SUM(G34:H34)</f>
        <v>333202</v>
      </c>
    </row>
    <row r="35" spans="1:11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/>
      <c r="H35" s="121"/>
      <c r="I35" s="59">
        <f t="shared" ref="I35:I36" si="8">SUM(G35:H35)</f>
        <v>0</v>
      </c>
    </row>
    <row r="36" spans="1:11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335110</v>
      </c>
      <c r="H37" s="59">
        <f t="shared" ref="H37:I37" si="9">SUM(H34:H36)</f>
        <v>-1908</v>
      </c>
      <c r="I37" s="59">
        <f t="shared" si="9"/>
        <v>333202</v>
      </c>
    </row>
    <row r="38" spans="1:11" x14ac:dyDescent="0.25">
      <c r="A38" s="18" t="s">
        <v>65</v>
      </c>
      <c r="B38" s="59">
        <f>B29+B30+B32+B33+B34+B35+B36+B37</f>
        <v>291118</v>
      </c>
      <c r="C38" s="59">
        <f>C29+C30+C32+C33+C34+C35+C36+C37</f>
        <v>29850</v>
      </c>
      <c r="D38" s="59">
        <f t="shared" ref="D38" si="10">D29+D30+D32+D33+D34+D35+D36+D37</f>
        <v>320968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59">
        <f>SUM(G39:H39)</f>
        <v>2666346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 x14ac:dyDescent="0.25">
      <c r="A41" s="18" t="s">
        <v>180</v>
      </c>
      <c r="B41" s="53">
        <v>16754233</v>
      </c>
      <c r="C41" s="53">
        <v>-95412</v>
      </c>
      <c r="D41" s="59">
        <f>SUM(B41:C41)</f>
        <v>16658821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>
        <v>1250</v>
      </c>
      <c r="C42" s="53">
        <v>-1250</v>
      </c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>
        <v>99076</v>
      </c>
      <c r="C43" s="53"/>
      <c r="D43" s="59">
        <f t="shared" si="12"/>
        <v>99076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-14576779</v>
      </c>
      <c r="C45" s="54">
        <v>72655</v>
      </c>
      <c r="D45" s="60">
        <f t="shared" si="12"/>
        <v>-14504124</v>
      </c>
      <c r="E45" s="18"/>
      <c r="F45" s="18" t="s">
        <v>172</v>
      </c>
      <c r="G45" s="54">
        <v>-199719</v>
      </c>
      <c r="H45" s="102">
        <f>-1*(H20+H32+H37)</f>
        <v>1908</v>
      </c>
      <c r="I45" s="60">
        <f t="shared" si="11"/>
        <v>-197811</v>
      </c>
    </row>
    <row r="46" spans="1:11" x14ac:dyDescent="0.25">
      <c r="A46" s="18" t="s">
        <v>71</v>
      </c>
      <c r="B46" s="59">
        <f>B41+B42+B43+B44+B45</f>
        <v>2277780</v>
      </c>
      <c r="C46" s="59">
        <f t="shared" ref="C46:D46" si="13">C41+C42+C43+C44+C45</f>
        <v>-24007</v>
      </c>
      <c r="D46" s="59">
        <f t="shared" si="13"/>
        <v>2253773</v>
      </c>
      <c r="E46" s="18"/>
      <c r="F46" s="18" t="s">
        <v>114</v>
      </c>
      <c r="G46" s="59">
        <f>SUM(G39:G45)</f>
        <v>2466627</v>
      </c>
      <c r="H46" s="62">
        <f t="shared" ref="H46:I46" si="14">SUM(H39:H45)</f>
        <v>1908</v>
      </c>
      <c r="I46" s="59">
        <f t="shared" si="14"/>
        <v>2468535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4483244</v>
      </c>
      <c r="C48" s="61">
        <f t="shared" ref="C48:D48" si="15">C25+C38+C46</f>
        <v>0</v>
      </c>
      <c r="D48" s="61">
        <f t="shared" si="15"/>
        <v>4483244</v>
      </c>
      <c r="E48" s="18"/>
      <c r="F48" s="22" t="s">
        <v>115</v>
      </c>
      <c r="G48" s="61">
        <f>G20+G32+G37+G46</f>
        <v>4483244</v>
      </c>
      <c r="H48" s="61">
        <f t="shared" ref="H48:I48" si="16">H20+H32+H37+H46</f>
        <v>0</v>
      </c>
      <c r="I48" s="61">
        <f t="shared" si="16"/>
        <v>4483244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Pend Oreille Telephone Company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10" zoomScale="70" zoomScaleNormal="70" workbookViewId="0">
      <selection activeCell="F19" sqref="F1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Pend Oreille Telephone Company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566520.74</v>
      </c>
      <c r="C10" s="33">
        <f>'CurrentYearBalanceSheet '!D10</f>
        <v>1159709</v>
      </c>
      <c r="D10" s="18"/>
      <c r="E10" s="18" t="s">
        <v>78</v>
      </c>
      <c r="F10" s="33">
        <f>PriorYearBalanceSheet!I10</f>
        <v>142660.13</v>
      </c>
      <c r="G10" s="33">
        <f>'CurrentYearBalanceSheet '!I10</f>
        <v>169683</v>
      </c>
    </row>
    <row r="11" spans="1:7" x14ac:dyDescent="0.25">
      <c r="A11" s="18" t="s">
        <v>145</v>
      </c>
      <c r="B11" s="33">
        <f>PriorYearBalanceSheet!D11</f>
        <v>864.5</v>
      </c>
      <c r="C11" s="33">
        <f>'CurrentYearBalanceSheet '!D11</f>
        <v>865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213068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4910</v>
      </c>
      <c r="G13" s="33">
        <f>'CurrentYearBalanceSheet '!I13</f>
        <v>4650</v>
      </c>
    </row>
    <row r="14" spans="1:7" x14ac:dyDescent="0.25">
      <c r="A14" s="18" t="s">
        <v>47</v>
      </c>
      <c r="B14" s="33">
        <f>PriorYearBalanceSheet!D14</f>
        <v>293881.59999999998</v>
      </c>
      <c r="C14" s="33">
        <f>'CurrentYearBalanceSheet '!D14</f>
        <v>179221</v>
      </c>
      <c r="D14" s="18"/>
      <c r="E14" s="18" t="s">
        <v>84</v>
      </c>
      <c r="F14" s="33">
        <f>PriorYearBalanceSheet!I14</f>
        <v>93408</v>
      </c>
      <c r="G14" s="33">
        <f>'CurrentYearBalanceSheet '!I14</f>
        <v>98188</v>
      </c>
    </row>
    <row r="15" spans="1:7" x14ac:dyDescent="0.25">
      <c r="A15" s="18" t="s">
        <v>45</v>
      </c>
      <c r="B15" s="33">
        <f>PriorYearBalanceSheet!D15</f>
        <v>80746.720000000001</v>
      </c>
      <c r="C15" s="33">
        <f>'CurrentYearBalanceSheet '!D15</f>
        <v>82377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57788.34</v>
      </c>
      <c r="C17" s="33">
        <f>'CurrentYearBalanceSheet '!D17</f>
        <v>46076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209746.9</v>
      </c>
      <c r="C18" s="33">
        <f>'CurrentYearBalanceSheet '!D18</f>
        <v>183224</v>
      </c>
      <c r="D18" s="18"/>
      <c r="E18" s="18" t="s">
        <v>88</v>
      </c>
      <c r="F18" s="33">
        <f>PriorYearBalanceSheet!I18</f>
        <v>0</v>
      </c>
      <c r="G18" s="33">
        <f>'CurrentYearBalanceSheet '!I18</f>
        <v>0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52379.13</v>
      </c>
      <c r="G19" s="33">
        <f>'CurrentYearBalanceSheet '!I19</f>
        <v>52702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293357.26</v>
      </c>
      <c r="G20" s="36">
        <f>SUM(G10:G19)</f>
        <v>538291</v>
      </c>
    </row>
    <row r="21" spans="1:7" x14ac:dyDescent="0.25">
      <c r="A21" s="18" t="s">
        <v>49</v>
      </c>
      <c r="B21" s="33">
        <f>PriorYearBalanceSheet!D21</f>
        <v>218892.38</v>
      </c>
      <c r="C21" s="33">
        <f>'CurrentYearBalanceSheet '!D21</f>
        <v>185149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1200832.21</v>
      </c>
      <c r="G22" s="33">
        <f>'CurrentYearBalanceSheet '!I22</f>
        <v>1102618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67799.14</v>
      </c>
      <c r="C24" s="34">
        <f>'CurrentYearBalanceSheet '!D24</f>
        <v>71882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1496240.3199999996</v>
      </c>
      <c r="C25" s="33">
        <f>C10+C11+C13+C14+C15+C17+C18+C19+C20+C21+C22+C23+C24</f>
        <v>1908503</v>
      </c>
      <c r="D25" s="18"/>
      <c r="E25" s="18" t="s">
        <v>95</v>
      </c>
      <c r="F25" s="33">
        <f>PriorYearBalanceSheet!I25</f>
        <v>0</v>
      </c>
      <c r="G25" s="33">
        <f>'CurrentYearBalanceSheet '!I25</f>
        <v>40598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1200832.21</v>
      </c>
      <c r="G32" s="33">
        <f>SUM(G22:G31)</f>
        <v>1143216</v>
      </c>
    </row>
    <row r="33" spans="1:7" x14ac:dyDescent="0.25">
      <c r="A33" s="18" t="s">
        <v>58</v>
      </c>
      <c r="B33" s="33">
        <f>PriorYearBalanceSheet!D33</f>
        <v>332265.40000000002</v>
      </c>
      <c r="C33" s="33">
        <f>'CurrentYearBalanceSheet '!D33</f>
        <v>291118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14516.28</v>
      </c>
      <c r="C34" s="33">
        <f>'CurrentYearBalanceSheet '!D34</f>
        <v>29850</v>
      </c>
      <c r="D34" s="18"/>
      <c r="E34" s="18" t="s">
        <v>103</v>
      </c>
      <c r="F34" s="33">
        <f>PriorYearBalanceSheet!I34</f>
        <v>342310</v>
      </c>
      <c r="G34" s="33">
        <f>'CurrentYearBalanceSheet '!I34</f>
        <v>333202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342310</v>
      </c>
      <c r="G37" s="33">
        <f>SUM(G34:G36)</f>
        <v>333202</v>
      </c>
    </row>
    <row r="38" spans="1:7" x14ac:dyDescent="0.25">
      <c r="A38" s="18" t="s">
        <v>65</v>
      </c>
      <c r="B38" s="33">
        <f>B29+B30+B32+B33+B34+B35+B36+B37</f>
        <v>346781.68000000005</v>
      </c>
      <c r="C38" s="33">
        <f>C29+C30+C32+C33+C34+C35+C36+C37</f>
        <v>320968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2666346</v>
      </c>
      <c r="G39" s="33">
        <f>'CurrentYearBalanceSheet '!I39</f>
        <v>2666346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16595656.99</v>
      </c>
      <c r="C41" s="33">
        <f>'CurrentYearBalanceSheet '!D41</f>
        <v>16658821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42525.33</v>
      </c>
      <c r="C43" s="33">
        <f>'CurrentYearBalanceSheet '!D43</f>
        <v>99076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-14289298.76</v>
      </c>
      <c r="C45" s="34">
        <f>'CurrentYearBalanceSheet '!D45</f>
        <v>-14504124</v>
      </c>
      <c r="D45" s="18"/>
      <c r="E45" s="18" t="s">
        <v>113</v>
      </c>
      <c r="F45" s="34">
        <f>PriorYearBalanceSheet!I45</f>
        <v>-310939</v>
      </c>
      <c r="G45" s="34">
        <f>'CurrentYearBalanceSheet '!I45</f>
        <v>-197811</v>
      </c>
    </row>
    <row r="46" spans="1:7" x14ac:dyDescent="0.25">
      <c r="A46" s="18" t="s">
        <v>71</v>
      </c>
      <c r="B46" s="33">
        <f>SUM(B41:B45)</f>
        <v>2348883.5600000005</v>
      </c>
      <c r="C46" s="33">
        <f>SUM(C41:C45)</f>
        <v>2253773</v>
      </c>
      <c r="D46" s="18"/>
      <c r="E46" s="18" t="s">
        <v>114</v>
      </c>
      <c r="F46" s="33">
        <f>SUM(F39:F45)</f>
        <v>2355407</v>
      </c>
      <c r="G46" s="33">
        <f>SUM(G39:G45)</f>
        <v>2468535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4191905.56</v>
      </c>
      <c r="C48" s="35">
        <f>C25+C38+C46</f>
        <v>4483244</v>
      </c>
      <c r="D48" s="18"/>
      <c r="E48" s="22" t="s">
        <v>115</v>
      </c>
      <c r="F48" s="35">
        <f>F20+F32+F37+F46</f>
        <v>4191906.4699999997</v>
      </c>
      <c r="G48" s="35">
        <f>G20+G32+G37+G46</f>
        <v>4483244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6" sqref="E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Pend Oreille Telephone Company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16595656.99</v>
      </c>
      <c r="E10" s="59">
        <f>'BalanceSheet(Summary)'!C41</f>
        <v>16658821</v>
      </c>
      <c r="F10" s="59">
        <f>(D10+E10)/2</f>
        <v>16627238.995000001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-14289298.76</v>
      </c>
      <c r="E12" s="59">
        <f>'BalanceSheet(Summary)'!C45</f>
        <v>-14504124</v>
      </c>
      <c r="F12" s="59">
        <f t="shared" ref="F12:F15" si="0">(D12+E12)/2</f>
        <v>-14396711.379999999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218892.38</v>
      </c>
      <c r="E13" s="59">
        <f>'BalanceSheet(Summary)'!C21</f>
        <v>185149</v>
      </c>
      <c r="F13" s="59">
        <f t="shared" si="0"/>
        <v>202020.69</v>
      </c>
    </row>
    <row r="14" spans="1:6" x14ac:dyDescent="0.25">
      <c r="A14" s="11">
        <v>5</v>
      </c>
      <c r="B14" s="18" t="s">
        <v>130</v>
      </c>
      <c r="C14" s="20"/>
      <c r="D14" s="53">
        <v>-342310</v>
      </c>
      <c r="E14" s="53">
        <f>-'BalanceSheet(Summary)'!G34</f>
        <v>-333202</v>
      </c>
      <c r="F14" s="59">
        <f t="shared" si="0"/>
        <v>-337756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2182940.6100000003</v>
      </c>
      <c r="E15" s="63">
        <f>SUM(E10:E14)</f>
        <v>2006644</v>
      </c>
      <c r="F15" s="64">
        <f t="shared" si="0"/>
        <v>2094792.3050000002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Pend Oreille Telephone Company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1161</v>
      </c>
      <c r="D10" s="53">
        <f>528+352+240</f>
        <v>1120</v>
      </c>
      <c r="E10" s="33">
        <f>D10-C10</f>
        <v>-41</v>
      </c>
      <c r="F10" s="39">
        <f>E10/C10</f>
        <v>-3.5314384151593457E-2</v>
      </c>
    </row>
    <row r="11" spans="1:6" x14ac:dyDescent="0.25">
      <c r="A11" s="11">
        <v>2</v>
      </c>
      <c r="B11" s="20" t="s">
        <v>138</v>
      </c>
      <c r="C11" s="53">
        <v>347</v>
      </c>
      <c r="D11" s="53">
        <f>90+130+100</f>
        <v>320</v>
      </c>
      <c r="E11" s="33">
        <f>D11-C11</f>
        <v>-27</v>
      </c>
      <c r="F11" s="39">
        <f t="shared" ref="F11:F12" si="0">E11/C11</f>
        <v>-7.7809798270893377E-2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1508</v>
      </c>
      <c r="D12" s="35">
        <f t="shared" ref="D12:E12" si="1">SUM(D10:D11)</f>
        <v>1440</v>
      </c>
      <c r="E12" s="35">
        <f t="shared" si="1"/>
        <v>-68</v>
      </c>
      <c r="F12" s="40">
        <f t="shared" si="0"/>
        <v>-4.5092838196286469E-2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1" zoomScale="85" zoomScaleNormal="85" workbookViewId="0">
      <selection activeCell="C52" sqref="C5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Pend Oreille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393106.3</v>
      </c>
      <c r="D9" s="53"/>
      <c r="E9" s="59">
        <f>SUM(C9:D9)</f>
        <v>393106.3</v>
      </c>
    </row>
    <row r="10" spans="1:6" x14ac:dyDescent="0.25">
      <c r="A10" s="11">
        <v>2</v>
      </c>
      <c r="B10" s="15" t="s">
        <v>2</v>
      </c>
      <c r="C10" s="53">
        <v>1905132.29</v>
      </c>
      <c r="D10" s="53"/>
      <c r="E10" s="59">
        <f t="shared" ref="E10:E14" si="0">SUM(C10:D10)</f>
        <v>1905132.29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59">
        <f t="shared" si="0"/>
        <v>0</v>
      </c>
    </row>
    <row r="12" spans="1:6" x14ac:dyDescent="0.25">
      <c r="A12" s="11">
        <v>4</v>
      </c>
      <c r="B12" s="15" t="s">
        <v>4</v>
      </c>
      <c r="C12" s="53">
        <v>0</v>
      </c>
      <c r="D12" s="53"/>
      <c r="E12" s="59">
        <f t="shared" si="0"/>
        <v>0</v>
      </c>
    </row>
    <row r="13" spans="1:6" x14ac:dyDescent="0.25">
      <c r="A13" s="11">
        <v>5</v>
      </c>
      <c r="B13" s="15" t="s">
        <v>5</v>
      </c>
      <c r="C13" s="53">
        <v>27027.279999999999</v>
      </c>
      <c r="D13" s="53">
        <v>-13195.279999999999</v>
      </c>
      <c r="E13" s="59">
        <f t="shared" si="0"/>
        <v>13832</v>
      </c>
    </row>
    <row r="14" spans="1:6" x14ac:dyDescent="0.25">
      <c r="A14" s="11">
        <v>6</v>
      </c>
      <c r="B14" s="15" t="s">
        <v>152</v>
      </c>
      <c r="C14" s="53">
        <v>-9912.6200000000008</v>
      </c>
      <c r="D14" s="53"/>
      <c r="E14" s="59">
        <f t="shared" si="0"/>
        <v>-9912.6200000000008</v>
      </c>
    </row>
    <row r="15" spans="1:6" x14ac:dyDescent="0.25">
      <c r="A15" s="11">
        <v>7</v>
      </c>
      <c r="B15" s="95" t="s">
        <v>151</v>
      </c>
      <c r="C15" s="104">
        <f>SUM(C9:C14)</f>
        <v>2315353.2499999995</v>
      </c>
      <c r="D15" s="104">
        <f t="shared" ref="D15:E15" si="1">SUM(D9:D14)</f>
        <v>-13195.279999999999</v>
      </c>
      <c r="E15" s="104">
        <f t="shared" si="1"/>
        <v>2302157.9699999997</v>
      </c>
      <c r="F15" s="1"/>
    </row>
    <row r="16" spans="1:6" x14ac:dyDescent="0.25">
      <c r="A16" s="11">
        <v>8</v>
      </c>
      <c r="B16" s="15" t="s">
        <v>6</v>
      </c>
      <c r="C16" s="53">
        <v>673124.41</v>
      </c>
      <c r="D16" s="53">
        <v>1644</v>
      </c>
      <c r="E16" s="42">
        <f>SUM(C16:D16)</f>
        <v>674768.41</v>
      </c>
    </row>
    <row r="17" spans="1:6" x14ac:dyDescent="0.25">
      <c r="A17" s="11">
        <v>9</v>
      </c>
      <c r="B17" s="15" t="s">
        <v>40</v>
      </c>
      <c r="C17" s="53">
        <v>191956.88</v>
      </c>
      <c r="D17" s="53">
        <v>-1980</v>
      </c>
      <c r="E17" s="42">
        <f t="shared" ref="E17:E21" si="2">SUM(C17:D17)</f>
        <v>189976.88</v>
      </c>
    </row>
    <row r="18" spans="1:6" x14ac:dyDescent="0.25">
      <c r="A18" s="11">
        <v>10</v>
      </c>
      <c r="B18" s="15" t="s">
        <v>7</v>
      </c>
      <c r="C18" s="53">
        <v>315948.09999999998</v>
      </c>
      <c r="D18" s="53">
        <v>-633</v>
      </c>
      <c r="E18" s="42">
        <f t="shared" si="2"/>
        <v>315315.09999999998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165053</v>
      </c>
      <c r="D20" s="53">
        <v>-37612</v>
      </c>
      <c r="E20" s="42">
        <f t="shared" si="2"/>
        <v>127441</v>
      </c>
    </row>
    <row r="21" spans="1:6" x14ac:dyDescent="0.25">
      <c r="A21" s="11">
        <v>13</v>
      </c>
      <c r="B21" s="15" t="s">
        <v>10</v>
      </c>
      <c r="C21" s="53">
        <v>797210.76</v>
      </c>
      <c r="D21" s="53">
        <v>-26999</v>
      </c>
      <c r="E21" s="42">
        <f t="shared" si="2"/>
        <v>770211.76</v>
      </c>
    </row>
    <row r="22" spans="1:6" x14ac:dyDescent="0.25">
      <c r="A22" s="11">
        <v>14</v>
      </c>
      <c r="B22" s="90" t="s">
        <v>150</v>
      </c>
      <c r="C22" s="104">
        <f>C16+C17+C18+C19+C20+C21</f>
        <v>2143293.1500000004</v>
      </c>
      <c r="D22" s="104">
        <f>D16+D17+D18+D19+D20+D21</f>
        <v>-65580</v>
      </c>
      <c r="E22" s="105">
        <f>E16+E17+E18+E19+E20+E21</f>
        <v>2077713.1500000001</v>
      </c>
      <c r="F22" s="1"/>
    </row>
    <row r="23" spans="1:6" x14ac:dyDescent="0.25">
      <c r="A23" s="11">
        <v>15</v>
      </c>
      <c r="B23" s="15" t="s">
        <v>14</v>
      </c>
      <c r="C23" s="59">
        <f>C15-C22</f>
        <v>172060.09999999916</v>
      </c>
      <c r="D23" s="59">
        <f>D15-D22</f>
        <v>52384.72</v>
      </c>
      <c r="E23" s="59">
        <f>E15-E22</f>
        <v>224444.8199999996</v>
      </c>
    </row>
    <row r="24" spans="1:6" x14ac:dyDescent="0.25">
      <c r="A24" s="11">
        <v>16</v>
      </c>
      <c r="B24" s="15" t="s">
        <v>153</v>
      </c>
      <c r="C24" s="53">
        <v>0</v>
      </c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>
        <v>0</v>
      </c>
      <c r="D25" s="121"/>
      <c r="E25" s="59">
        <f t="shared" ref="E25:E27" si="3">SUM(C25:D25)</f>
        <v>0</v>
      </c>
    </row>
    <row r="26" spans="1:6" x14ac:dyDescent="0.25">
      <c r="A26" s="11">
        <v>18</v>
      </c>
      <c r="B26" s="15" t="s">
        <v>229</v>
      </c>
      <c r="C26" s="53">
        <v>383585</v>
      </c>
      <c r="D26" s="55">
        <v>-343866</v>
      </c>
      <c r="E26" s="59">
        <f t="shared" si="3"/>
        <v>39719</v>
      </c>
    </row>
    <row r="27" spans="1:6" x14ac:dyDescent="0.25">
      <c r="A27" s="11">
        <v>19</v>
      </c>
      <c r="B27" s="15" t="s">
        <v>13</v>
      </c>
      <c r="C27" s="53">
        <v>54555.68</v>
      </c>
      <c r="D27" s="121">
        <v>-37</v>
      </c>
      <c r="E27" s="59">
        <f t="shared" si="3"/>
        <v>54518.68</v>
      </c>
    </row>
    <row r="28" spans="1:6" x14ac:dyDescent="0.25">
      <c r="A28" s="11">
        <v>20</v>
      </c>
      <c r="B28" s="95" t="s">
        <v>12</v>
      </c>
      <c r="C28" s="83">
        <f>SUM(C25:C27)</f>
        <v>438140.68</v>
      </c>
      <c r="D28" s="83">
        <f t="shared" ref="D28:E28" si="4">SUM(D25:D27)</f>
        <v>-343903</v>
      </c>
      <c r="E28" s="106">
        <f t="shared" si="4"/>
        <v>94237.68</v>
      </c>
    </row>
    <row r="29" spans="1:6" x14ac:dyDescent="0.25">
      <c r="A29" s="11">
        <v>21</v>
      </c>
      <c r="B29" s="95" t="s">
        <v>23</v>
      </c>
      <c r="C29" s="83">
        <f>C23+C24-C28</f>
        <v>-266080.58000000083</v>
      </c>
      <c r="D29" s="83">
        <f>D23+D24-D28</f>
        <v>396287.72</v>
      </c>
      <c r="E29" s="106">
        <f>E23+E24-E28</f>
        <v>130207.13999999961</v>
      </c>
    </row>
    <row r="30" spans="1:6" x14ac:dyDescent="0.25">
      <c r="A30" s="11">
        <v>22</v>
      </c>
      <c r="B30" s="15" t="s">
        <v>15</v>
      </c>
      <c r="C30" s="53">
        <v>67118.31</v>
      </c>
      <c r="D30" s="55">
        <v>-16828</v>
      </c>
      <c r="E30" s="59">
        <f>SUM(C30:D30)</f>
        <v>50290.31</v>
      </c>
    </row>
    <row r="31" spans="1:6" x14ac:dyDescent="0.25">
      <c r="A31" s="11">
        <v>23</v>
      </c>
      <c r="B31" s="15" t="s">
        <v>16</v>
      </c>
      <c r="C31" s="53">
        <v>0</v>
      </c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3296.84</v>
      </c>
      <c r="D32" s="55"/>
      <c r="E32" s="59">
        <f t="shared" si="5"/>
        <v>3296.84</v>
      </c>
    </row>
    <row r="33" spans="1:10" x14ac:dyDescent="0.25">
      <c r="A33" s="11">
        <v>25</v>
      </c>
      <c r="B33" s="15" t="s">
        <v>167</v>
      </c>
      <c r="C33" s="53">
        <v>-64.7</v>
      </c>
      <c r="D33" s="55"/>
      <c r="E33" s="60">
        <f t="shared" si="5"/>
        <v>-64.7</v>
      </c>
    </row>
    <row r="34" spans="1:10" x14ac:dyDescent="0.25">
      <c r="A34" s="11">
        <v>26</v>
      </c>
      <c r="B34" s="95" t="s">
        <v>18</v>
      </c>
      <c r="C34" s="83">
        <f>SUM(C30:C33)</f>
        <v>70350.45</v>
      </c>
      <c r="D34" s="107">
        <f t="shared" ref="D34" si="6">SUM(D30:D33)</f>
        <v>-16828</v>
      </c>
      <c r="E34" s="83">
        <f>SUM(E30:E33)</f>
        <v>53522.45</v>
      </c>
    </row>
    <row r="35" spans="1:10" x14ac:dyDescent="0.25">
      <c r="A35" s="11">
        <v>27</v>
      </c>
      <c r="B35" s="15" t="s">
        <v>19</v>
      </c>
      <c r="C35" s="53">
        <v>11916.21</v>
      </c>
      <c r="D35" s="55">
        <v>-11916.21</v>
      </c>
      <c r="E35" s="33">
        <f>SUM(C35:D35)</f>
        <v>0</v>
      </c>
    </row>
    <row r="36" spans="1:10" x14ac:dyDescent="0.25">
      <c r="A36" s="11">
        <v>28</v>
      </c>
      <c r="B36" s="15" t="s">
        <v>20</v>
      </c>
      <c r="C36" s="53">
        <v>0</v>
      </c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>
        <v>0</v>
      </c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28767.24</v>
      </c>
      <c r="D38" s="70">
        <f>-1*(D29-D34)</f>
        <v>-413115.72</v>
      </c>
      <c r="E38" s="33">
        <f t="shared" si="7"/>
        <v>-384348.48</v>
      </c>
    </row>
    <row r="39" spans="1:10" x14ac:dyDescent="0.25">
      <c r="A39" s="11">
        <v>31</v>
      </c>
      <c r="B39" s="95" t="s">
        <v>22</v>
      </c>
      <c r="C39" s="83">
        <f>C29-C34+C35+C36+C37+C38</f>
        <v>-295747.58000000083</v>
      </c>
      <c r="D39" s="83">
        <f t="shared" ref="D39:E39" si="8">D29-D34+D35+D36+D37+D38</f>
        <v>-11916.210000000021</v>
      </c>
      <c r="E39" s="83">
        <f t="shared" si="8"/>
        <v>-307663.79000000039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-15827.64</v>
      </c>
      <c r="D41" s="55"/>
      <c r="E41" s="59">
        <f t="shared" ref="E41:E46" si="9">SUM(C41:D41)</f>
        <v>-15827.64</v>
      </c>
    </row>
    <row r="42" spans="1:10" x14ac:dyDescent="0.25">
      <c r="A42" s="11">
        <v>34</v>
      </c>
      <c r="B42" s="15" t="s">
        <v>26</v>
      </c>
      <c r="C42" s="53">
        <v>0</v>
      </c>
      <c r="D42" s="55"/>
      <c r="E42" s="59">
        <f t="shared" si="9"/>
        <v>0</v>
      </c>
    </row>
    <row r="43" spans="1:10" x14ac:dyDescent="0.25">
      <c r="A43" s="11">
        <v>35</v>
      </c>
      <c r="B43" s="15" t="s">
        <v>27</v>
      </c>
      <c r="C43" s="53">
        <v>0</v>
      </c>
      <c r="D43" s="55"/>
      <c r="E43" s="59">
        <f t="shared" si="9"/>
        <v>0</v>
      </c>
    </row>
    <row r="44" spans="1:10" x14ac:dyDescent="0.25">
      <c r="A44" s="11">
        <v>36</v>
      </c>
      <c r="B44" s="15" t="s">
        <v>28</v>
      </c>
      <c r="C44" s="53">
        <v>0</v>
      </c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>
        <v>0</v>
      </c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>
        <v>0</v>
      </c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-311575.22000000085</v>
      </c>
      <c r="D47" s="107">
        <f t="shared" ref="D47:E47" si="10">(D39+D41+D42)-(D43+D44+D45+D46)</f>
        <v>-11916.210000000021</v>
      </c>
      <c r="E47" s="106">
        <f t="shared" si="10"/>
        <v>-323491.4300000004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94997</v>
      </c>
      <c r="D52" s="109"/>
      <c r="E52" s="33">
        <f>C52</f>
        <v>94997</v>
      </c>
    </row>
    <row r="53" spans="1:7" x14ac:dyDescent="0.25">
      <c r="A53" s="11">
        <v>45</v>
      </c>
      <c r="B53" s="15" t="s">
        <v>36</v>
      </c>
      <c r="C53" s="110">
        <f>((C22+C28-C18-C19)/C15)</f>
        <v>0.97846224112886482</v>
      </c>
      <c r="D53" s="110">
        <f>((D22+D28-D18-D19)/D15)</f>
        <v>30.984564177493773</v>
      </c>
      <c r="E53" s="110">
        <f>((E22+E28-E18-E19)/E15)</f>
        <v>0.80647625149719859</v>
      </c>
    </row>
    <row r="54" spans="1:7" x14ac:dyDescent="0.25">
      <c r="A54" s="11">
        <v>46</v>
      </c>
      <c r="B54" s="15" t="s">
        <v>37</v>
      </c>
      <c r="C54" s="110">
        <f>((C22+C28+C34)/C15)</f>
        <v>1.1453044065738138</v>
      </c>
      <c r="D54" s="110">
        <f>((D22+D28+D34)/D15)</f>
        <v>32.307840379287143</v>
      </c>
      <c r="E54" s="110">
        <f>((E22+E28+E34)/E15)</f>
        <v>0.96669008339162776</v>
      </c>
    </row>
    <row r="55" spans="1:7" x14ac:dyDescent="0.25">
      <c r="A55" s="11">
        <v>47</v>
      </c>
      <c r="B55" s="15" t="s">
        <v>38</v>
      </c>
      <c r="C55" s="110">
        <f>((C39+C34)/C34)</f>
        <v>-3.2039188093324324</v>
      </c>
      <c r="D55" s="110">
        <f t="shared" ref="D55:E55" si="13">((D39+D34)/D34)</f>
        <v>1.7081180175897326</v>
      </c>
      <c r="E55" s="110">
        <f t="shared" si="13"/>
        <v>-4.7483129042112306</v>
      </c>
    </row>
    <row r="56" spans="1:7" x14ac:dyDescent="0.25">
      <c r="A56" s="11">
        <v>48</v>
      </c>
      <c r="B56" s="15" t="s">
        <v>39</v>
      </c>
      <c r="C56" s="110">
        <f>(C39+C34+C18+C19)/C52</f>
        <v>0.9531982062591362</v>
      </c>
      <c r="D56" s="110" t="e">
        <f>(D39+D34+D18+D19)/D52</f>
        <v>#DIV/0!</v>
      </c>
      <c r="E56" s="110">
        <f>(E39+E34+E18+E19)/E52</f>
        <v>0.64395465119950734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25" zoomScale="85" zoomScaleNormal="85" workbookViewId="0">
      <selection activeCell="D36" sqref="D3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Pend Oreille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410863</v>
      </c>
      <c r="D9" s="53">
        <v>3</v>
      </c>
      <c r="E9" s="33">
        <f>SUM(C9:D9)</f>
        <v>410866</v>
      </c>
    </row>
    <row r="10" spans="1:6" x14ac:dyDescent="0.25">
      <c r="A10" s="11">
        <v>2</v>
      </c>
      <c r="B10" s="18" t="s">
        <v>2</v>
      </c>
      <c r="C10" s="53">
        <v>2203921</v>
      </c>
      <c r="D10" s="53"/>
      <c r="E10" s="33">
        <f t="shared" ref="E10:E14" si="0">SUM(C10:D10)</f>
        <v>2203921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26373</v>
      </c>
      <c r="D13" s="53">
        <f>11818-C13</f>
        <v>-14555</v>
      </c>
      <c r="E13" s="33">
        <f t="shared" si="0"/>
        <v>11818</v>
      </c>
    </row>
    <row r="14" spans="1:6" x14ac:dyDescent="0.25">
      <c r="A14" s="11">
        <v>6</v>
      </c>
      <c r="B14" s="18" t="s">
        <v>152</v>
      </c>
      <c r="C14" s="53">
        <v>-18879</v>
      </c>
      <c r="D14" s="53"/>
      <c r="E14" s="33">
        <f t="shared" si="0"/>
        <v>-18879</v>
      </c>
    </row>
    <row r="15" spans="1:6" x14ac:dyDescent="0.25">
      <c r="A15" s="11">
        <v>7</v>
      </c>
      <c r="B15" s="90" t="s">
        <v>151</v>
      </c>
      <c r="C15" s="41">
        <f>SUM(C9:C14)</f>
        <v>2622278</v>
      </c>
      <c r="D15" s="41">
        <f t="shared" ref="D15:E15" si="1">SUM(D9:D14)</f>
        <v>-14552</v>
      </c>
      <c r="E15" s="41">
        <f t="shared" si="1"/>
        <v>2607726</v>
      </c>
      <c r="F15" s="1"/>
    </row>
    <row r="16" spans="1:6" x14ac:dyDescent="0.25">
      <c r="A16" s="11">
        <v>8</v>
      </c>
      <c r="B16" s="18" t="s">
        <v>6</v>
      </c>
      <c r="C16" s="53">
        <v>676176</v>
      </c>
      <c r="D16" s="53">
        <f>-9577+4612</f>
        <v>-4965</v>
      </c>
      <c r="E16" s="42">
        <f>SUM(C16:D16)</f>
        <v>671211</v>
      </c>
    </row>
    <row r="17" spans="1:6" x14ac:dyDescent="0.25">
      <c r="A17" s="11">
        <v>9</v>
      </c>
      <c r="B17" s="18" t="s">
        <v>40</v>
      </c>
      <c r="C17" s="53">
        <v>213547</v>
      </c>
      <c r="D17" s="53">
        <v>-17129</v>
      </c>
      <c r="E17" s="42">
        <f t="shared" ref="E17:E21" si="2">SUM(C17:D17)</f>
        <v>196418</v>
      </c>
    </row>
    <row r="18" spans="1:6" x14ac:dyDescent="0.25">
      <c r="A18" s="11">
        <v>10</v>
      </c>
      <c r="B18" s="18" t="s">
        <v>7</v>
      </c>
      <c r="C18" s="53">
        <v>318962</v>
      </c>
      <c r="D18" s="53">
        <f>317074-C18</f>
        <v>-1888</v>
      </c>
      <c r="E18" s="42">
        <f t="shared" si="2"/>
        <v>317074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176809</v>
      </c>
      <c r="D20" s="53">
        <f>169502-C20</f>
        <v>-7307</v>
      </c>
      <c r="E20" s="42">
        <f t="shared" si="2"/>
        <v>169502</v>
      </c>
    </row>
    <row r="21" spans="1:6" x14ac:dyDescent="0.25">
      <c r="A21" s="11">
        <v>13</v>
      </c>
      <c r="B21" s="18" t="s">
        <v>10</v>
      </c>
      <c r="C21" s="53">
        <v>803756</v>
      </c>
      <c r="D21" s="53">
        <f>794131-C21</f>
        <v>-9625</v>
      </c>
      <c r="E21" s="42">
        <f t="shared" si="2"/>
        <v>794131</v>
      </c>
    </row>
    <row r="22" spans="1:6" x14ac:dyDescent="0.25">
      <c r="A22" s="11">
        <v>14</v>
      </c>
      <c r="B22" s="90" t="s">
        <v>150</v>
      </c>
      <c r="C22" s="41">
        <f>C16+C17+C18+C19+C20+C21</f>
        <v>2189250</v>
      </c>
      <c r="D22" s="41">
        <f>D16+D17+D18+D19+D20+D21</f>
        <v>-40914</v>
      </c>
      <c r="E22" s="43">
        <f>E16+E17+E18+E19+E20+E21</f>
        <v>2148336</v>
      </c>
      <c r="F22" s="1"/>
    </row>
    <row r="23" spans="1:6" x14ac:dyDescent="0.25">
      <c r="A23" s="11">
        <v>15</v>
      </c>
      <c r="B23" s="18" t="s">
        <v>14</v>
      </c>
      <c r="C23" s="33">
        <f>C15-C22</f>
        <v>433028</v>
      </c>
      <c r="D23" s="33">
        <f>D15-D22</f>
        <v>26362</v>
      </c>
      <c r="E23" s="33">
        <f>E15-E22</f>
        <v>459390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1"/>
      <c r="E25" s="33">
        <f t="shared" ref="E25:E27" si="3">SUM(C25:D25)</f>
        <v>0</v>
      </c>
    </row>
    <row r="26" spans="1:6" x14ac:dyDescent="0.25">
      <c r="A26" s="11">
        <v>18</v>
      </c>
      <c r="B26" s="18" t="s">
        <v>229</v>
      </c>
      <c r="C26" s="53">
        <v>117039</v>
      </c>
      <c r="D26" s="55">
        <f>-9108+13958</f>
        <v>4850</v>
      </c>
      <c r="E26" s="33">
        <f t="shared" si="3"/>
        <v>121889</v>
      </c>
    </row>
    <row r="27" spans="1:6" x14ac:dyDescent="0.25">
      <c r="A27" s="11">
        <v>19</v>
      </c>
      <c r="B27" s="18" t="s">
        <v>13</v>
      </c>
      <c r="C27" s="53">
        <v>52621</v>
      </c>
      <c r="D27" s="121">
        <v>-110</v>
      </c>
      <c r="E27" s="33">
        <f t="shared" si="3"/>
        <v>52511</v>
      </c>
    </row>
    <row r="28" spans="1:6" x14ac:dyDescent="0.25">
      <c r="A28" s="11">
        <v>20</v>
      </c>
      <c r="B28" s="90" t="s">
        <v>12</v>
      </c>
      <c r="C28" s="38">
        <f>SUM(C25:C27)</f>
        <v>169660</v>
      </c>
      <c r="D28" s="38">
        <f t="shared" ref="D28:E28" si="4">SUM(D25:D27)</f>
        <v>4740</v>
      </c>
      <c r="E28" s="44">
        <f t="shared" si="4"/>
        <v>174400</v>
      </c>
    </row>
    <row r="29" spans="1:6" x14ac:dyDescent="0.25">
      <c r="A29" s="11">
        <v>21</v>
      </c>
      <c r="B29" s="90" t="s">
        <v>23</v>
      </c>
      <c r="C29" s="38">
        <f>C23+C24-C28</f>
        <v>263368</v>
      </c>
      <c r="D29" s="38">
        <f>D23+D24-D28</f>
        <v>21622</v>
      </c>
      <c r="E29" s="44">
        <f>E23+E24-E28</f>
        <v>284990</v>
      </c>
    </row>
    <row r="30" spans="1:6" x14ac:dyDescent="0.25">
      <c r="A30" s="11">
        <v>22</v>
      </c>
      <c r="B30" s="18" t="s">
        <v>15</v>
      </c>
      <c r="C30" s="53">
        <v>63615</v>
      </c>
      <c r="D30" s="55">
        <v>-22457</v>
      </c>
      <c r="E30" s="33">
        <f>SUM(C30:D30)</f>
        <v>41158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2311</v>
      </c>
      <c r="D32" s="55">
        <v>-2311</v>
      </c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>
        <v>-2362</v>
      </c>
      <c r="D33" s="55"/>
      <c r="E33" s="34">
        <f t="shared" si="5"/>
        <v>-2362</v>
      </c>
    </row>
    <row r="34" spans="1:5" x14ac:dyDescent="0.25">
      <c r="A34" s="11">
        <v>26</v>
      </c>
      <c r="B34" s="90" t="s">
        <v>18</v>
      </c>
      <c r="C34" s="38">
        <f>SUM(C30:C33)</f>
        <v>63564</v>
      </c>
      <c r="D34" s="65">
        <f t="shared" ref="D34" si="6">SUM(D30:D33)</f>
        <v>-24768</v>
      </c>
      <c r="E34" s="38">
        <f>SUM(E30:E33)</f>
        <v>38796</v>
      </c>
    </row>
    <row r="35" spans="1:5" x14ac:dyDescent="0.25">
      <c r="A35" s="11">
        <v>27</v>
      </c>
      <c r="B35" s="18" t="s">
        <v>19</v>
      </c>
      <c r="C35" s="53">
        <v>9050</v>
      </c>
      <c r="D35" s="55">
        <f>-7224-C35</f>
        <v>-16274</v>
      </c>
      <c r="E35" s="33">
        <f>SUM(C35:D35)</f>
        <v>-7224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82314</v>
      </c>
      <c r="D38" s="70">
        <f>-1*(D29-D34)</f>
        <v>-46390</v>
      </c>
      <c r="E38" s="33">
        <f t="shared" si="7"/>
        <v>35924</v>
      </c>
    </row>
    <row r="39" spans="1:5" x14ac:dyDescent="0.25">
      <c r="A39" s="11">
        <v>31</v>
      </c>
      <c r="B39" s="90" t="s">
        <v>22</v>
      </c>
      <c r="C39" s="38">
        <f>C29-C34+C35+C36+C37+C38</f>
        <v>291168</v>
      </c>
      <c r="D39" s="38">
        <f t="shared" ref="D39:E39" si="8">D29-D34+D35+D36+D37+D38</f>
        <v>-16274</v>
      </c>
      <c r="E39" s="38">
        <f t="shared" si="8"/>
        <v>274894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-311576</v>
      </c>
      <c r="D41" s="55"/>
      <c r="E41" s="33">
        <f t="shared" ref="E41:E46" si="9">SUM(C41:D41)</f>
        <v>-311576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>
        <v>179311</v>
      </c>
      <c r="D43" s="55"/>
      <c r="E43" s="33">
        <f t="shared" si="9"/>
        <v>179311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-199719</v>
      </c>
      <c r="D47" s="65">
        <f t="shared" ref="D47:E47" si="10">(D39+D41+D42)-(D43+D44+D45+D46)</f>
        <v>-16274</v>
      </c>
      <c r="E47" s="44">
        <f t="shared" si="10"/>
        <v>-215993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155131</v>
      </c>
      <c r="D52" s="103"/>
      <c r="E52" s="33">
        <f>C52</f>
        <v>155131</v>
      </c>
    </row>
    <row r="53" spans="1:7" x14ac:dyDescent="0.25">
      <c r="A53" s="11">
        <v>45</v>
      </c>
      <c r="B53" s="18" t="s">
        <v>36</v>
      </c>
      <c r="C53" s="47">
        <f>((C22+C28-C18-C19)/C15)</f>
        <v>0.7779297236982502</v>
      </c>
      <c r="D53" s="47">
        <f>((D22+D28-D18-D19)/D15)</f>
        <v>2.3561022539857066</v>
      </c>
      <c r="E53" s="47">
        <f>((E22+E28-E18-E19)/E15)</f>
        <v>0.76912298301278581</v>
      </c>
    </row>
    <row r="54" spans="1:7" x14ac:dyDescent="0.25">
      <c r="A54" s="11">
        <v>46</v>
      </c>
      <c r="B54" s="18" t="s">
        <v>37</v>
      </c>
      <c r="C54" s="47">
        <f>((C22+C28+C34)/C15)</f>
        <v>0.92380518007625434</v>
      </c>
      <c r="D54" s="47">
        <f>((D22+D28+D34)/D15)</f>
        <v>4.1878779549202862</v>
      </c>
      <c r="E54" s="47">
        <f>((E22+E28+E34)/E15)</f>
        <v>0.90559054133754846</v>
      </c>
    </row>
    <row r="55" spans="1:7" x14ac:dyDescent="0.25">
      <c r="A55" s="11">
        <v>47</v>
      </c>
      <c r="B55" s="18" t="s">
        <v>38</v>
      </c>
      <c r="C55" s="47">
        <f>((C39+C34)/C34)</f>
        <v>5.5807060600339815</v>
      </c>
      <c r="D55" s="47">
        <f t="shared" ref="D55:E55" si="13">((D39+D34)/D34)</f>
        <v>1.6570574935400517</v>
      </c>
      <c r="E55" s="47">
        <f t="shared" si="13"/>
        <v>8.0856273842664184</v>
      </c>
    </row>
    <row r="56" spans="1:7" x14ac:dyDescent="0.25">
      <c r="A56" s="11">
        <v>48</v>
      </c>
      <c r="B56" s="18" t="s">
        <v>39</v>
      </c>
      <c r="C56" s="47">
        <f>(C39+C34+C18+C19)/C52</f>
        <v>4.3427425852988764</v>
      </c>
      <c r="D56" s="47" t="e">
        <f>(D39+D34+D18+D19)/D52</f>
        <v>#DIV/0!</v>
      </c>
      <c r="E56" s="47">
        <f>(E39+E34+E18+E19)/E52</f>
        <v>4.0660087281072128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3" zoomScale="70" zoomScaleNormal="70" workbookViewId="0">
      <selection activeCell="C60" sqref="C60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Pend Oreille Telephone Company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393106.3</v>
      </c>
      <c r="D9" s="42">
        <f>'CurrentYearIncomeStmt '!E9</f>
        <v>410866</v>
      </c>
    </row>
    <row r="10" spans="1:5" x14ac:dyDescent="0.25">
      <c r="A10" s="11">
        <v>2</v>
      </c>
      <c r="B10" s="18" t="s">
        <v>2</v>
      </c>
      <c r="C10" s="33">
        <f>PriorYearIncomeStmt!E10</f>
        <v>1905132.29</v>
      </c>
      <c r="D10" s="42">
        <f>'CurrentYearIncomeStmt '!E10</f>
        <v>2203921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13832</v>
      </c>
      <c r="D13" s="42">
        <f>'CurrentYearIncomeStmt '!E13</f>
        <v>11818</v>
      </c>
    </row>
    <row r="14" spans="1:5" x14ac:dyDescent="0.25">
      <c r="A14" s="11">
        <v>6</v>
      </c>
      <c r="B14" s="18" t="s">
        <v>152</v>
      </c>
      <c r="C14" s="33">
        <f>PriorYearIncomeStmt!E14</f>
        <v>-9912.6200000000008</v>
      </c>
      <c r="D14" s="42">
        <f>'CurrentYearIncomeStmt '!E14</f>
        <v>-18879</v>
      </c>
    </row>
    <row r="15" spans="1:5" x14ac:dyDescent="0.25">
      <c r="A15" s="11">
        <v>7</v>
      </c>
      <c r="B15" s="90" t="s">
        <v>151</v>
      </c>
      <c r="C15" s="41">
        <f>SUM(C9:C14)</f>
        <v>2302157.9699999997</v>
      </c>
      <c r="D15" s="43">
        <f t="shared" ref="D15" si="0">SUM(D9:D14)</f>
        <v>2607726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674768.41</v>
      </c>
      <c r="D16" s="42">
        <f>'CurrentYearIncomeStmt '!E16</f>
        <v>671211</v>
      </c>
    </row>
    <row r="17" spans="1:5" x14ac:dyDescent="0.25">
      <c r="A17" s="11">
        <v>9</v>
      </c>
      <c r="B17" s="18" t="s">
        <v>40</v>
      </c>
      <c r="C17" s="33">
        <f>PriorYearIncomeStmt!E17</f>
        <v>189976.88</v>
      </c>
      <c r="D17" s="42">
        <f>'CurrentYearIncomeStmt '!E17</f>
        <v>196418</v>
      </c>
    </row>
    <row r="18" spans="1:5" x14ac:dyDescent="0.25">
      <c r="A18" s="11">
        <v>10</v>
      </c>
      <c r="B18" s="18" t="s">
        <v>7</v>
      </c>
      <c r="C18" s="33">
        <f>PriorYearIncomeStmt!E18</f>
        <v>315315.09999999998</v>
      </c>
      <c r="D18" s="42">
        <f>'CurrentYearIncomeStmt '!E18</f>
        <v>317074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127441</v>
      </c>
      <c r="D20" s="42">
        <f>'CurrentYearIncomeStmt '!E20</f>
        <v>169502</v>
      </c>
    </row>
    <row r="21" spans="1:5" x14ac:dyDescent="0.25">
      <c r="A21" s="11">
        <v>13</v>
      </c>
      <c r="B21" s="18" t="s">
        <v>10</v>
      </c>
      <c r="C21" s="33">
        <f>PriorYearIncomeStmt!E21</f>
        <v>770211.76</v>
      </c>
      <c r="D21" s="42">
        <f>'CurrentYearIncomeStmt '!E21</f>
        <v>794131</v>
      </c>
    </row>
    <row r="22" spans="1:5" x14ac:dyDescent="0.25">
      <c r="A22" s="11">
        <v>14</v>
      </c>
      <c r="B22" s="90" t="s">
        <v>150</v>
      </c>
      <c r="C22" s="41">
        <f>C16+C17+C18+C19+C20+C21</f>
        <v>2077713.1500000001</v>
      </c>
      <c r="D22" s="43">
        <f>D16+D17+D18+D19+D20+D21</f>
        <v>2148336</v>
      </c>
      <c r="E22" s="1"/>
    </row>
    <row r="23" spans="1:5" x14ac:dyDescent="0.25">
      <c r="A23" s="11">
        <v>15</v>
      </c>
      <c r="B23" s="18" t="s">
        <v>14</v>
      </c>
      <c r="C23" s="33">
        <f>C15-C22</f>
        <v>224444.8199999996</v>
      </c>
      <c r="D23" s="42">
        <f>D15-D22</f>
        <v>459390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214</v>
      </c>
      <c r="C26" s="33">
        <f>PriorYearIncomeStmt!E26</f>
        <v>39719</v>
      </c>
      <c r="D26" s="42">
        <f>'CurrentYearIncomeStmt '!E26</f>
        <v>121889</v>
      </c>
    </row>
    <row r="27" spans="1:5" x14ac:dyDescent="0.25">
      <c r="A27" s="11">
        <v>19</v>
      </c>
      <c r="B27" s="18" t="s">
        <v>13</v>
      </c>
      <c r="C27" s="33">
        <f>PriorYearIncomeStmt!E27</f>
        <v>54518.68</v>
      </c>
      <c r="D27" s="42">
        <f>'CurrentYearIncomeStmt '!E27</f>
        <v>52511</v>
      </c>
    </row>
    <row r="28" spans="1:5" x14ac:dyDescent="0.25">
      <c r="A28" s="11">
        <v>20</v>
      </c>
      <c r="B28" s="90" t="s">
        <v>12</v>
      </c>
      <c r="C28" s="38">
        <f>SUM(C25:C27)</f>
        <v>94237.68</v>
      </c>
      <c r="D28" s="44">
        <f t="shared" ref="D28" si="1">SUM(D25:D27)</f>
        <v>174400</v>
      </c>
    </row>
    <row r="29" spans="1:5" x14ac:dyDescent="0.25">
      <c r="A29" s="11">
        <v>21</v>
      </c>
      <c r="B29" s="90" t="s">
        <v>23</v>
      </c>
      <c r="C29" s="38">
        <f>C23+C24-C28</f>
        <v>130207.13999999961</v>
      </c>
      <c r="D29" s="44">
        <f>D23+D24-D28</f>
        <v>284990</v>
      </c>
    </row>
    <row r="30" spans="1:5" x14ac:dyDescent="0.25">
      <c r="A30" s="11">
        <v>22</v>
      </c>
      <c r="B30" s="18" t="s">
        <v>15</v>
      </c>
      <c r="C30" s="33">
        <f>PriorYearIncomeStmt!E30</f>
        <v>50290.31</v>
      </c>
      <c r="D30" s="42">
        <f>'CurrentYearIncomeStmt '!E30</f>
        <v>41158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3296.84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-64.7</v>
      </c>
      <c r="D33" s="42">
        <f>'CurrentYearIncomeStmt '!E33</f>
        <v>-2362</v>
      </c>
    </row>
    <row r="34" spans="1:4" x14ac:dyDescent="0.25">
      <c r="A34" s="11">
        <v>26</v>
      </c>
      <c r="B34" s="90" t="s">
        <v>18</v>
      </c>
      <c r="C34" s="38">
        <f>SUM(C30:C33)</f>
        <v>53522.45</v>
      </c>
      <c r="D34" s="44">
        <f t="shared" ref="D34" si="2">SUM(D30:D33)</f>
        <v>38796</v>
      </c>
    </row>
    <row r="35" spans="1:4" x14ac:dyDescent="0.25">
      <c r="A35" s="11">
        <v>27</v>
      </c>
      <c r="B35" s="18" t="s">
        <v>19</v>
      </c>
      <c r="C35" s="33">
        <f>PriorYearIncomeStmt!E35</f>
        <v>0</v>
      </c>
      <c r="D35" s="42">
        <f>'CurrentYearIncomeStmt '!E35</f>
        <v>-7224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-384348.48</v>
      </c>
      <c r="D38" s="42">
        <f>'CurrentYearIncomeStmt '!E38</f>
        <v>35924</v>
      </c>
    </row>
    <row r="39" spans="1:4" x14ac:dyDescent="0.25">
      <c r="A39" s="11">
        <v>31</v>
      </c>
      <c r="B39" s="90" t="s">
        <v>22</v>
      </c>
      <c r="C39" s="38">
        <f>C29-C34+C35+C36+C37+C38</f>
        <v>-307663.79000000039</v>
      </c>
      <c r="D39" s="44">
        <f t="shared" ref="D39" si="3">D29-D34+D35+D36+D37+D38</f>
        <v>274894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-15827.64</v>
      </c>
      <c r="D41" s="42">
        <f>'CurrentYearIncomeStmt '!E41</f>
        <v>-311576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179311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-323491.4300000004</v>
      </c>
      <c r="D47" s="44">
        <f t="shared" ref="D47" si="4">(D39+D41+D42)-(D43+D44+D45+D46)</f>
        <v>-215993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94997</v>
      </c>
      <c r="D52" s="42">
        <f>'CurrentYearIncomeStmt '!E52</f>
        <v>155131</v>
      </c>
    </row>
    <row r="53" spans="1:8" x14ac:dyDescent="0.25">
      <c r="A53" s="11">
        <v>45</v>
      </c>
      <c r="B53" s="18" t="s">
        <v>36</v>
      </c>
      <c r="C53" s="50">
        <f>((C22+C28-C18-C19)/C15)</f>
        <v>0.80647625149719859</v>
      </c>
      <c r="D53" s="50">
        <f>((D22+D28-D18-D19)/D15)</f>
        <v>0.76912298301278581</v>
      </c>
    </row>
    <row r="54" spans="1:8" x14ac:dyDescent="0.25">
      <c r="A54" s="11">
        <v>46</v>
      </c>
      <c r="B54" s="18" t="s">
        <v>37</v>
      </c>
      <c r="C54" s="50">
        <f>((C22+C28+C34)/C15)</f>
        <v>0.96669008339162776</v>
      </c>
      <c r="D54" s="50">
        <f>((D22+D28+D34)/D15)</f>
        <v>0.90559054133754846</v>
      </c>
    </row>
    <row r="55" spans="1:8" x14ac:dyDescent="0.25">
      <c r="A55" s="11">
        <v>47</v>
      </c>
      <c r="B55" s="18" t="s">
        <v>38</v>
      </c>
      <c r="C55" s="50">
        <f>((C39+C34)/C34)</f>
        <v>-4.7483129042112306</v>
      </c>
      <c r="D55" s="50">
        <f t="shared" ref="D55" si="6">((D39+D34)/D34)</f>
        <v>8.0856273842664184</v>
      </c>
    </row>
    <row r="56" spans="1:8" x14ac:dyDescent="0.25">
      <c r="A56" s="11">
        <v>48</v>
      </c>
      <c r="B56" s="18" t="s">
        <v>39</v>
      </c>
      <c r="C56" s="46">
        <f>(C39+C34+C18+C19)/C52</f>
        <v>0.64395465119950734</v>
      </c>
      <c r="D56" s="50">
        <f>(D39+D34+D18+D19)/D52</f>
        <v>4.0660087281072128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2016-07-27T07:00:00+00:00</OpenedDate>
    <Date1 xmlns="dc463f71-b30c-4ab2-9473-d307f9d35888">2016-07-27T07:00:00+00:00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DocketNumber xmlns="dc463f71-b30c-4ab2-9473-d307f9d35888">160942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D4DB375BCCE04691D14AB606621AB1" ma:contentTypeVersion="104" ma:contentTypeDescription="" ma:contentTypeScope="" ma:versionID="9546c64aa2359890fb09b0e408b7ca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3EAA7-BEA2-4317-97DE-4D50E7616D0A}"/>
</file>

<file path=customXml/itemProps2.xml><?xml version="1.0" encoding="utf-8"?>
<ds:datastoreItem xmlns:ds="http://schemas.openxmlformats.org/officeDocument/2006/customXml" ds:itemID="{40C38BD9-63D8-4C8F-B047-9BD0EC9E2E67}"/>
</file>

<file path=customXml/itemProps3.xml><?xml version="1.0" encoding="utf-8"?>
<ds:datastoreItem xmlns:ds="http://schemas.openxmlformats.org/officeDocument/2006/customXml" ds:itemID="{B049C091-EBAB-47F2-A639-5C54FAE0F83C}"/>
</file>

<file path=customXml/itemProps4.xml><?xml version="1.0" encoding="utf-8"?>
<ds:datastoreItem xmlns:ds="http://schemas.openxmlformats.org/officeDocument/2006/customXml" ds:itemID="{48474335-E978-40B1-B844-B1C5E890F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Kredel, Ashley (UTC)</cp:lastModifiedBy>
  <cp:lastPrinted>2016-05-11T18:16:56Z</cp:lastPrinted>
  <dcterms:created xsi:type="dcterms:W3CDTF">2014-05-21T17:51:51Z</dcterms:created>
  <dcterms:modified xsi:type="dcterms:W3CDTF">2016-07-27T16:52:49Z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Washington PUC Filing</vt:lpwstr>
  </property>
  <property fmtid="{D5CDD505-2E9C-101B-9397-08002B2CF9AE}" pid="4" name="tabIndex">
    <vt:lpwstr>04G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0x0101006E56B4D1795A2E4DB2F0B01679ED314A005BD4DB375BCCE04691D14AB606621AB1</vt:lpwstr>
  </property>
  <property fmtid="{D5CDD505-2E9C-101B-9397-08002B2CF9AE}" pid="7" name="_docset_NoMedatataSyncRequired">
    <vt:lpwstr>False</vt:lpwstr>
  </property>
</Properties>
</file>